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showInkAnnotation="0" codeName="ThisWorkbook" autoCompressPictures="0"/>
  <mc:AlternateContent xmlns:mc="http://schemas.openxmlformats.org/markup-compatibility/2006">
    <mc:Choice Requires="x15">
      <x15ac:absPath xmlns:x15ac="http://schemas.microsoft.com/office/spreadsheetml/2010/11/ac" url="https://workforcetampa-my.sharepoint.com/personal/claytonb_careersourcetb_com/Documents/Documents/CSTB/0 - Best Practice Research/6 - ROI for Workforce Programs/0 - Final Spreadsheets/"/>
    </mc:Choice>
  </mc:AlternateContent>
  <xr:revisionPtr revIDLastSave="95" documentId="8_{E5CB2E08-6E1E-4B18-AAD7-6FEC739AB8D6}" xr6:coauthVersionLast="47" xr6:coauthVersionMax="47" xr10:uidLastSave="{A1FCC6EE-A7B2-4CC7-8F0D-18B1CD57A4BE}"/>
  <bookViews>
    <workbookView showSheetTabs="0" xWindow="-120" yWindow="-120" windowWidth="29040" windowHeight="15720" tabRatio="819" firstSheet="1" xr2:uid="{00000000-000D-0000-FFFF-FFFF00000000}"/>
  </bookViews>
  <sheets>
    <sheet name="ROI Questionnaire" sheetId="24" r:id="rId1"/>
    <sheet name="ROI Summary" sheetId="33" r:id="rId2"/>
    <sheet name="ROI Details" sheetId="23" r:id="rId3"/>
    <sheet name="Cost of Vacancy WS" sheetId="26" r:id="rId4"/>
    <sheet name="Cost per Hire WS" sheetId="29" r:id="rId5"/>
    <sheet name="Cost of Turnover WS" sheetId="27" r:id="rId6"/>
    <sheet name="Subsidy WS" sheetId="34" r:id="rId7"/>
    <sheet name="WOTC" sheetId="35" r:id="rId8"/>
    <sheet name="FL EL Tax Credit" sheetId="36" r:id="rId9"/>
  </sheets>
  <definedNames>
    <definedName name="_xlnm.Print_Area" localSheetId="5">'Cost of Turnover WS'!$B$2:$D$47</definedName>
    <definedName name="_xlnm.Print_Area" localSheetId="3">'Cost of Vacancy WS'!$B$2:$D$43</definedName>
    <definedName name="_xlnm.Print_Area" localSheetId="4">'Cost per Hire WS'!$B$2:$E$76</definedName>
    <definedName name="_xlnm.Print_Area" localSheetId="2">'ROI Details'!$B$2:$H$84</definedName>
    <definedName name="_xlnm.Print_Area" localSheetId="0">'ROI Questionnaire'!$B$2:$I$153</definedName>
    <definedName name="_xlnm.Print_Titles" localSheetId="3">'Cost of Vacancy WS'!$2:$2</definedName>
    <definedName name="_xlnm.Print_Titles" localSheetId="2">'ROI Details'!$2:$2</definedName>
    <definedName name="_xlnm.Print_Titles" localSheetId="0">'ROI Questionnaire'!$2:$2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43" i="34" l="1"/>
  <c r="D42" i="34"/>
  <c r="D41" i="34"/>
  <c r="D40" i="34"/>
  <c r="D39" i="34"/>
  <c r="D60" i="34"/>
  <c r="D59" i="34"/>
  <c r="D58" i="34"/>
  <c r="D57" i="34"/>
  <c r="D56" i="34"/>
  <c r="D52" i="34"/>
  <c r="D51" i="34"/>
  <c r="D50" i="34"/>
  <c r="D49" i="34"/>
  <c r="D48" i="34"/>
  <c r="D34" i="34"/>
  <c r="D33" i="34"/>
  <c r="D32" i="34"/>
  <c r="D31" i="34"/>
  <c r="D30" i="34"/>
  <c r="D16" i="34" l="1"/>
  <c r="D15" i="34"/>
  <c r="D14" i="34"/>
  <c r="D13" i="34"/>
  <c r="D12" i="34"/>
  <c r="G25" i="33"/>
  <c r="F25" i="33"/>
  <c r="E25" i="33"/>
  <c r="C25" i="33"/>
  <c r="G59" i="34"/>
  <c r="G58" i="34"/>
  <c r="G56" i="34"/>
  <c r="G52" i="34"/>
  <c r="G51" i="34"/>
  <c r="G50" i="34"/>
  <c r="G49" i="34"/>
  <c r="G43" i="34"/>
  <c r="G42" i="34"/>
  <c r="G41" i="34"/>
  <c r="G39" i="34"/>
  <c r="G34" i="34"/>
  <c r="G33" i="34"/>
  <c r="G32" i="34"/>
  <c r="G30" i="34"/>
  <c r="G23" i="34"/>
  <c r="G21" i="34"/>
  <c r="D36" i="24"/>
  <c r="D35" i="24"/>
  <c r="D34" i="24"/>
  <c r="D33" i="24"/>
  <c r="D32" i="24"/>
  <c r="C22" i="23"/>
  <c r="H49" i="23"/>
  <c r="G49" i="23"/>
  <c r="F49" i="23"/>
  <c r="I8" i="33"/>
  <c r="E49" i="23"/>
  <c r="G8" i="33" s="1"/>
  <c r="D49" i="23"/>
  <c r="E8" i="33" s="1"/>
  <c r="K8" i="33"/>
  <c r="C8" i="33"/>
  <c r="D32" i="27"/>
  <c r="D30" i="27"/>
  <c r="D22" i="26"/>
  <c r="D88" i="24"/>
  <c r="D84" i="24"/>
  <c r="D74" i="24"/>
  <c r="O15" i="23" l="1"/>
  <c r="N15" i="23"/>
  <c r="M15" i="23"/>
  <c r="L15" i="23"/>
  <c r="K15" i="23"/>
  <c r="O14" i="23"/>
  <c r="N14" i="23"/>
  <c r="M14" i="23"/>
  <c r="L14" i="23"/>
  <c r="K14" i="23"/>
  <c r="O13" i="23"/>
  <c r="N13" i="23"/>
  <c r="M13" i="23"/>
  <c r="L13" i="23"/>
  <c r="K13" i="23"/>
  <c r="O16" i="23"/>
  <c r="N16" i="23"/>
  <c r="M16" i="23"/>
  <c r="L16" i="23"/>
  <c r="K16" i="23"/>
  <c r="D10" i="26"/>
  <c r="D12" i="27" s="1"/>
  <c r="D40" i="27"/>
  <c r="D36" i="26"/>
  <c r="D22" i="27" s="1"/>
  <c r="D12" i="26"/>
  <c r="D16" i="27" s="1"/>
  <c r="C17" i="23"/>
  <c r="D42" i="27"/>
  <c r="D14" i="27"/>
  <c r="D15" i="36"/>
  <c r="D23" i="36"/>
  <c r="D22" i="36"/>
  <c r="D21" i="36"/>
  <c r="D20" i="36"/>
  <c r="D78" i="36"/>
  <c r="D84" i="36" s="1"/>
  <c r="D86" i="36" s="1"/>
  <c r="D126" i="24" l="1"/>
  <c r="D24" i="27"/>
  <c r="E70" i="29"/>
  <c r="D70" i="29"/>
  <c r="E48" i="29"/>
  <c r="E72" i="29" s="1"/>
  <c r="E76" i="29" s="1"/>
  <c r="D48" i="29"/>
  <c r="E20" i="29"/>
  <c r="D20" i="29"/>
  <c r="D40" i="26"/>
  <c r="D32" i="26"/>
  <c r="D18" i="26"/>
  <c r="M81" i="23"/>
  <c r="L81" i="23"/>
  <c r="K79" i="23"/>
  <c r="K80" i="23" s="1"/>
  <c r="K81" i="23" s="1"/>
  <c r="K78" i="23"/>
  <c r="V70" i="23"/>
  <c r="U70" i="23"/>
  <c r="T70" i="23"/>
  <c r="U71" i="23" s="1"/>
  <c r="V72" i="23" s="1"/>
  <c r="S70" i="23"/>
  <c r="T71" i="23" s="1"/>
  <c r="R70" i="23"/>
  <c r="S71" i="23" s="1"/>
  <c r="N66" i="23"/>
  <c r="M66" i="23"/>
  <c r="L66" i="23"/>
  <c r="K66" i="23"/>
  <c r="M65" i="23"/>
  <c r="L65" i="23"/>
  <c r="K65" i="23"/>
  <c r="L64" i="23"/>
  <c r="K64" i="23"/>
  <c r="K63" i="23"/>
  <c r="V61" i="23"/>
  <c r="U61" i="23"/>
  <c r="V62" i="23" s="1"/>
  <c r="T61" i="23"/>
  <c r="U62" i="23" s="1"/>
  <c r="V63" i="23" s="1"/>
  <c r="S61" i="23"/>
  <c r="R61" i="23"/>
  <c r="S62" i="23" s="1"/>
  <c r="T63" i="23" s="1"/>
  <c r="U64" i="23" s="1"/>
  <c r="V65" i="23" s="1"/>
  <c r="C54" i="23"/>
  <c r="V52" i="23"/>
  <c r="U52" i="23"/>
  <c r="V53" i="23" s="1"/>
  <c r="T52" i="23"/>
  <c r="U53" i="23" s="1"/>
  <c r="V54" i="23" s="1"/>
  <c r="S52" i="23"/>
  <c r="T53" i="23" s="1"/>
  <c r="U54" i="23" s="1"/>
  <c r="V55" i="23" s="1"/>
  <c r="R52" i="23"/>
  <c r="R57" i="23" s="1"/>
  <c r="R89" i="23" s="1"/>
  <c r="C49" i="23"/>
  <c r="C48" i="23"/>
  <c r="V43" i="23"/>
  <c r="U43" i="23"/>
  <c r="V44" i="23" s="1"/>
  <c r="T43" i="23"/>
  <c r="S43" i="23"/>
  <c r="T44" i="23" s="1"/>
  <c r="U45" i="23" s="1"/>
  <c r="V46" i="23" s="1"/>
  <c r="R43" i="23"/>
  <c r="R48" i="23" s="1"/>
  <c r="R88" i="23" s="1"/>
  <c r="C42" i="23"/>
  <c r="C41" i="23"/>
  <c r="C40" i="23"/>
  <c r="C38" i="23"/>
  <c r="C37" i="23"/>
  <c r="C24" i="33" s="1"/>
  <c r="C32" i="23"/>
  <c r="C31" i="23"/>
  <c r="C30" i="23"/>
  <c r="C17" i="33" s="1"/>
  <c r="G25" i="23"/>
  <c r="G82" i="23" s="1"/>
  <c r="F25" i="23"/>
  <c r="F82" i="23" s="1"/>
  <c r="E25" i="23"/>
  <c r="E82" i="23" s="1"/>
  <c r="D25" i="23"/>
  <c r="D82" i="23" s="1"/>
  <c r="C25" i="23"/>
  <c r="G24" i="23"/>
  <c r="F24" i="23"/>
  <c r="E24" i="23"/>
  <c r="D24" i="23"/>
  <c r="C24" i="23"/>
  <c r="G23" i="23"/>
  <c r="F23" i="23"/>
  <c r="E23" i="23"/>
  <c r="D23" i="23"/>
  <c r="C23" i="23"/>
  <c r="G22" i="23"/>
  <c r="F22" i="23"/>
  <c r="E22" i="23"/>
  <c r="D22" i="23"/>
  <c r="G21" i="23"/>
  <c r="F21" i="23"/>
  <c r="E21" i="23"/>
  <c r="D21" i="23"/>
  <c r="C21" i="23"/>
  <c r="C16" i="23"/>
  <c r="C15" i="23"/>
  <c r="C14" i="23"/>
  <c r="C12" i="23"/>
  <c r="C11" i="23"/>
  <c r="C10" i="23"/>
  <c r="O9" i="23"/>
  <c r="V33" i="23" s="1"/>
  <c r="N9" i="23"/>
  <c r="U33" i="23" s="1"/>
  <c r="M9" i="23"/>
  <c r="T33" i="23" s="1"/>
  <c r="L9" i="23"/>
  <c r="S33" i="23" s="1"/>
  <c r="K9" i="23"/>
  <c r="R33" i="23" s="1"/>
  <c r="C9" i="23"/>
  <c r="O8" i="23"/>
  <c r="V24" i="23" s="1"/>
  <c r="N8" i="23"/>
  <c r="U24" i="23" s="1"/>
  <c r="M8" i="23"/>
  <c r="T24" i="23" s="1"/>
  <c r="L8" i="23"/>
  <c r="S24" i="23" s="1"/>
  <c r="T25" i="23" s="1"/>
  <c r="U26" i="23" s="1"/>
  <c r="V27" i="23" s="1"/>
  <c r="K8" i="23"/>
  <c r="R24" i="23" s="1"/>
  <c r="S25" i="23" s="1"/>
  <c r="T26" i="23" s="1"/>
  <c r="U27" i="23" s="1"/>
  <c r="V28" i="23" s="1"/>
  <c r="C8" i="23"/>
  <c r="O7" i="23"/>
  <c r="N7" i="23"/>
  <c r="U15" i="23" s="1"/>
  <c r="M7" i="23"/>
  <c r="T15" i="23" s="1"/>
  <c r="L7" i="23"/>
  <c r="S15" i="23" s="1"/>
  <c r="K7" i="23"/>
  <c r="R15" i="23" s="1"/>
  <c r="C7" i="23"/>
  <c r="O6" i="23"/>
  <c r="V15" i="23" s="1"/>
  <c r="N6" i="23"/>
  <c r="U6" i="23" s="1"/>
  <c r="M6" i="23"/>
  <c r="T6" i="23" s="1"/>
  <c r="L6" i="23"/>
  <c r="S6" i="23" s="1"/>
  <c r="K6" i="23"/>
  <c r="R6" i="23" s="1"/>
  <c r="C6" i="23"/>
  <c r="C5" i="23"/>
  <c r="D128" i="24"/>
  <c r="D94" i="24"/>
  <c r="D92" i="24"/>
  <c r="D90" i="24"/>
  <c r="D86" i="24"/>
  <c r="C26" i="33" l="1"/>
  <c r="K49" i="23"/>
  <c r="C16" i="33"/>
  <c r="E28" i="33"/>
  <c r="C28" i="33"/>
  <c r="D28" i="33"/>
  <c r="D43" i="26"/>
  <c r="D28" i="27" s="1"/>
  <c r="D118" i="23"/>
  <c r="L74" i="23" s="1"/>
  <c r="D72" i="29"/>
  <c r="D76" i="29" s="1"/>
  <c r="D31" i="23"/>
  <c r="E31" i="23" s="1"/>
  <c r="F31" i="23" s="1"/>
  <c r="G31" i="23" s="1"/>
  <c r="D40" i="23"/>
  <c r="E40" i="23" s="1"/>
  <c r="F40" i="23" s="1"/>
  <c r="G40" i="23" s="1"/>
  <c r="R66" i="23"/>
  <c r="R90" i="23" s="1"/>
  <c r="S66" i="23"/>
  <c r="S90" i="23" s="1"/>
  <c r="D38" i="23"/>
  <c r="E38" i="23" s="1"/>
  <c r="F38" i="23" s="1"/>
  <c r="T72" i="23"/>
  <c r="U73" i="23" s="1"/>
  <c r="V74" i="23" s="1"/>
  <c r="S75" i="23"/>
  <c r="S91" i="23" s="1"/>
  <c r="U72" i="23"/>
  <c r="V73" i="23" s="1"/>
  <c r="H21" i="23"/>
  <c r="R75" i="23"/>
  <c r="R91" i="23" s="1"/>
  <c r="C55" i="23" s="1"/>
  <c r="S44" i="23"/>
  <c r="T45" i="23" s="1"/>
  <c r="U46" i="23" s="1"/>
  <c r="V47" i="23" s="1"/>
  <c r="T62" i="23"/>
  <c r="U63" i="23" s="1"/>
  <c r="V64" i="23" s="1"/>
  <c r="V66" i="23" s="1"/>
  <c r="V90" i="23" s="1"/>
  <c r="V71" i="23"/>
  <c r="F110" i="23"/>
  <c r="N73" i="23" s="1"/>
  <c r="H23" i="23"/>
  <c r="D37" i="23"/>
  <c r="U44" i="23"/>
  <c r="V45" i="23" s="1"/>
  <c r="D48" i="23"/>
  <c r="D50" i="23" s="1"/>
  <c r="D60" i="23" s="1"/>
  <c r="E7" i="33" s="1"/>
  <c r="S53" i="23"/>
  <c r="T54" i="23" s="1"/>
  <c r="U55" i="23" s="1"/>
  <c r="V56" i="23" s="1"/>
  <c r="V57" i="23" s="1"/>
  <c r="V89" i="23" s="1"/>
  <c r="H22" i="23"/>
  <c r="H24" i="23"/>
  <c r="H25" i="23"/>
  <c r="D54" i="23"/>
  <c r="E54" i="23" s="1"/>
  <c r="F54" i="23" s="1"/>
  <c r="G54" i="23" s="1"/>
  <c r="H54" i="23"/>
  <c r="C50" i="23"/>
  <c r="K57" i="23"/>
  <c r="K56" i="23"/>
  <c r="K58" i="23"/>
  <c r="D42" i="23" s="1"/>
  <c r="K51" i="23"/>
  <c r="K50" i="23"/>
  <c r="K52" i="23"/>
  <c r="D32" i="23"/>
  <c r="E32" i="23" s="1"/>
  <c r="F32" i="23" s="1"/>
  <c r="G32" i="23" s="1"/>
  <c r="C33" i="23"/>
  <c r="D30" i="23"/>
  <c r="C82" i="23"/>
  <c r="H82" i="23" s="1"/>
  <c r="C26" i="23"/>
  <c r="G26" i="23"/>
  <c r="E26" i="23"/>
  <c r="F26" i="23"/>
  <c r="D26" i="23"/>
  <c r="G102" i="23"/>
  <c r="O72" i="23" s="1"/>
  <c r="E94" i="23"/>
  <c r="M71" i="23" s="1"/>
  <c r="D102" i="23"/>
  <c r="L72" i="23" s="1"/>
  <c r="D110" i="23"/>
  <c r="L73" i="23" s="1"/>
  <c r="E118" i="23"/>
  <c r="M74" i="23" s="1"/>
  <c r="F94" i="23"/>
  <c r="N71" i="23" s="1"/>
  <c r="E102" i="23"/>
  <c r="M72" i="23" s="1"/>
  <c r="E110" i="23"/>
  <c r="M73" i="23" s="1"/>
  <c r="F118" i="23"/>
  <c r="N74" i="23" s="1"/>
  <c r="C94" i="23"/>
  <c r="C118" i="23"/>
  <c r="G94" i="23"/>
  <c r="O71" i="23" s="1"/>
  <c r="F102" i="23"/>
  <c r="N72" i="23" s="1"/>
  <c r="G118" i="23"/>
  <c r="O74" i="23" s="1"/>
  <c r="G110" i="23"/>
  <c r="O73" i="23" s="1"/>
  <c r="D94" i="23"/>
  <c r="L71" i="23" s="1"/>
  <c r="C102" i="23"/>
  <c r="C110" i="23"/>
  <c r="U34" i="23"/>
  <c r="V35" i="23" s="1"/>
  <c r="R11" i="23"/>
  <c r="R80" i="23" s="1"/>
  <c r="S7" i="23"/>
  <c r="T8" i="23" s="1"/>
  <c r="U9" i="23" s="1"/>
  <c r="V10" i="23" s="1"/>
  <c r="R20" i="23"/>
  <c r="R81" i="23" s="1"/>
  <c r="S16" i="23"/>
  <c r="T17" i="23" s="1"/>
  <c r="U18" i="23" s="1"/>
  <c r="V19" i="23" s="1"/>
  <c r="T29" i="23"/>
  <c r="T82" i="23" s="1"/>
  <c r="U25" i="23"/>
  <c r="V26" i="23" s="1"/>
  <c r="T34" i="23"/>
  <c r="U35" i="23" s="1"/>
  <c r="V36" i="23" s="1"/>
  <c r="V16" i="23"/>
  <c r="S34" i="23"/>
  <c r="T35" i="23" s="1"/>
  <c r="U36" i="23" s="1"/>
  <c r="V37" i="23" s="1"/>
  <c r="R38" i="23"/>
  <c r="R83" i="23" s="1"/>
  <c r="S29" i="23"/>
  <c r="S82" i="23" s="1"/>
  <c r="T16" i="23"/>
  <c r="U17" i="23" s="1"/>
  <c r="V18" i="23" s="1"/>
  <c r="V6" i="23"/>
  <c r="T7" i="23"/>
  <c r="U8" i="23" s="1"/>
  <c r="V9" i="23" s="1"/>
  <c r="U16" i="23"/>
  <c r="V17" i="23" s="1"/>
  <c r="V34" i="23"/>
  <c r="U7" i="23"/>
  <c r="V8" i="23" s="1"/>
  <c r="R29" i="23"/>
  <c r="R82" i="23" s="1"/>
  <c r="V7" i="23"/>
  <c r="V25" i="23"/>
  <c r="G42" i="23"/>
  <c r="D24" i="34" l="1"/>
  <c r="G24" i="34" s="1"/>
  <c r="G13" i="34"/>
  <c r="G40" i="34"/>
  <c r="G44" i="34" s="1"/>
  <c r="D22" i="34"/>
  <c r="G22" i="34" s="1"/>
  <c r="G57" i="34"/>
  <c r="G31" i="34"/>
  <c r="G35" i="34" s="1"/>
  <c r="G14" i="34"/>
  <c r="D23" i="34"/>
  <c r="G16" i="34"/>
  <c r="D25" i="34"/>
  <c r="G25" i="34" s="1"/>
  <c r="G60" i="34"/>
  <c r="D131" i="24"/>
  <c r="D8" i="33"/>
  <c r="E37" i="23"/>
  <c r="D24" i="33"/>
  <c r="D25" i="33"/>
  <c r="D36" i="27"/>
  <c r="D47" i="27" s="1"/>
  <c r="D34" i="27"/>
  <c r="D44" i="27" s="1"/>
  <c r="D141" i="24" s="1"/>
  <c r="C39" i="23"/>
  <c r="V48" i="23"/>
  <c r="V88" i="23" s="1"/>
  <c r="U48" i="23"/>
  <c r="U88" i="23" s="1"/>
  <c r="D41" i="23"/>
  <c r="E48" i="23"/>
  <c r="E50" i="23" s="1"/>
  <c r="E60" i="23" s="1"/>
  <c r="G7" i="33" s="1"/>
  <c r="T20" i="23"/>
  <c r="T81" i="23" s="1"/>
  <c r="T48" i="23"/>
  <c r="T88" i="23" s="1"/>
  <c r="H26" i="23"/>
  <c r="U38" i="23"/>
  <c r="U83" i="23" s="1"/>
  <c r="V75" i="23"/>
  <c r="V91" i="23" s="1"/>
  <c r="G55" i="23" s="1"/>
  <c r="L8" i="33" s="1"/>
  <c r="U75" i="23"/>
  <c r="U91" i="23" s="1"/>
  <c r="U57" i="23"/>
  <c r="U89" i="23" s="1"/>
  <c r="S48" i="23"/>
  <c r="S88" i="23" s="1"/>
  <c r="C56" i="23"/>
  <c r="C67" i="23" s="1"/>
  <c r="V29" i="23"/>
  <c r="V82" i="23" s="1"/>
  <c r="T75" i="23"/>
  <c r="T91" i="23" s="1"/>
  <c r="T66" i="23"/>
  <c r="T90" i="23" s="1"/>
  <c r="T57" i="23"/>
  <c r="T89" i="23" s="1"/>
  <c r="V38" i="23"/>
  <c r="V83" i="23" s="1"/>
  <c r="V20" i="23"/>
  <c r="V81" i="23" s="1"/>
  <c r="U66" i="23"/>
  <c r="U90" i="23" s="1"/>
  <c r="S57" i="23"/>
  <c r="S89" i="23" s="1"/>
  <c r="D55" i="23" s="1"/>
  <c r="C60" i="23"/>
  <c r="C7" i="33" s="1"/>
  <c r="H32" i="23"/>
  <c r="H31" i="23"/>
  <c r="D33" i="23"/>
  <c r="E30" i="23"/>
  <c r="K74" i="23"/>
  <c r="G119" i="23"/>
  <c r="O66" i="23" s="1"/>
  <c r="F95" i="23"/>
  <c r="N63" i="23" s="1"/>
  <c r="K71" i="23"/>
  <c r="D95" i="23"/>
  <c r="L63" i="23" s="1"/>
  <c r="G95" i="23"/>
  <c r="O63" i="23" s="1"/>
  <c r="K33" i="23"/>
  <c r="C81" i="23" s="1"/>
  <c r="E95" i="23"/>
  <c r="M63" i="23" s="1"/>
  <c r="G111" i="23"/>
  <c r="O65" i="23" s="1"/>
  <c r="F111" i="23"/>
  <c r="N65" i="23" s="1"/>
  <c r="K73" i="23"/>
  <c r="F103" i="23"/>
  <c r="N64" i="23" s="1"/>
  <c r="G103" i="23"/>
  <c r="O64" i="23" s="1"/>
  <c r="K72" i="23"/>
  <c r="E103" i="23"/>
  <c r="M64" i="23" s="1"/>
  <c r="S11" i="23"/>
  <c r="S80" i="23" s="1"/>
  <c r="V11" i="23"/>
  <c r="V80" i="23" s="1"/>
  <c r="T11" i="23"/>
  <c r="T80" i="23" s="1"/>
  <c r="U11" i="23"/>
  <c r="U80" i="23" s="1"/>
  <c r="U20" i="23"/>
  <c r="U81" i="23" s="1"/>
  <c r="U29" i="23"/>
  <c r="U82" i="23" s="1"/>
  <c r="S38" i="23"/>
  <c r="S83" i="23" s="1"/>
  <c r="S20" i="23"/>
  <c r="S81" i="23" s="1"/>
  <c r="T38" i="23"/>
  <c r="T83" i="23" s="1"/>
  <c r="L57" i="23"/>
  <c r="L58" i="23"/>
  <c r="G38" i="23"/>
  <c r="G61" i="34" l="1"/>
  <c r="G26" i="34"/>
  <c r="G15" i="34"/>
  <c r="D68" i="34" s="1"/>
  <c r="D108" i="24" s="1"/>
  <c r="F43" i="23" s="1"/>
  <c r="G48" i="34"/>
  <c r="G53" i="34" s="1"/>
  <c r="D21" i="34"/>
  <c r="D66" i="34"/>
  <c r="D106" i="24" s="1"/>
  <c r="D43" i="23" s="1"/>
  <c r="D69" i="34"/>
  <c r="D109" i="24" s="1"/>
  <c r="G43" i="23" s="1"/>
  <c r="D67" i="34"/>
  <c r="D107" i="24" s="1"/>
  <c r="E43" i="23" s="1"/>
  <c r="D132" i="24"/>
  <c r="F8" i="33"/>
  <c r="F37" i="23"/>
  <c r="E24" i="33"/>
  <c r="C23" i="33"/>
  <c r="F55" i="23"/>
  <c r="L49" i="23"/>
  <c r="L50" i="23"/>
  <c r="L52" i="23"/>
  <c r="D26" i="33"/>
  <c r="D45" i="27"/>
  <c r="C13" i="23"/>
  <c r="D48" i="27"/>
  <c r="D143" i="24"/>
  <c r="D13" i="23" s="1"/>
  <c r="D39" i="23"/>
  <c r="L51" i="23"/>
  <c r="G39" i="23"/>
  <c r="F39" i="23"/>
  <c r="E39" i="23"/>
  <c r="D135" i="24"/>
  <c r="G56" i="23"/>
  <c r="G67" i="23" s="1"/>
  <c r="L7" i="33" s="1"/>
  <c r="E55" i="23"/>
  <c r="F48" i="23"/>
  <c r="G48" i="23" s="1"/>
  <c r="G50" i="23" s="1"/>
  <c r="G60" i="23" s="1"/>
  <c r="E42" i="23"/>
  <c r="M58" i="23" s="1"/>
  <c r="F42" i="23" s="1"/>
  <c r="C74" i="23"/>
  <c r="D7" i="33"/>
  <c r="D56" i="23"/>
  <c r="D67" i="23" s="1"/>
  <c r="F30" i="23"/>
  <c r="E33" i="23"/>
  <c r="K34" i="23"/>
  <c r="K35" i="23" s="1"/>
  <c r="K36" i="23" s="1"/>
  <c r="L33" i="23"/>
  <c r="H38" i="23"/>
  <c r="G12" i="34" l="1"/>
  <c r="D65" i="34" s="1"/>
  <c r="D105" i="24" s="1"/>
  <c r="C43" i="23" s="1"/>
  <c r="H43" i="23" s="1"/>
  <c r="E83" i="23"/>
  <c r="E27" i="33"/>
  <c r="F83" i="23"/>
  <c r="F27" i="33"/>
  <c r="G83" i="23"/>
  <c r="G27" i="33"/>
  <c r="D83" i="23"/>
  <c r="D27" i="33"/>
  <c r="D133" i="24"/>
  <c r="H8" i="33"/>
  <c r="H55" i="23"/>
  <c r="E41" i="23"/>
  <c r="M49" i="23" s="1"/>
  <c r="D134" i="24"/>
  <c r="J8" i="33"/>
  <c r="G37" i="23"/>
  <c r="G24" i="33" s="1"/>
  <c r="F24" i="33"/>
  <c r="H37" i="23"/>
  <c r="C80" i="23"/>
  <c r="C18" i="33"/>
  <c r="C19" i="33" s="1"/>
  <c r="G23" i="33"/>
  <c r="D23" i="33"/>
  <c r="D44" i="23"/>
  <c r="D68" i="23" s="1"/>
  <c r="F9" i="33" s="1"/>
  <c r="E23" i="33"/>
  <c r="F23" i="33"/>
  <c r="F56" i="23"/>
  <c r="F67" i="23" s="1"/>
  <c r="J7" i="33" s="1"/>
  <c r="D61" i="23"/>
  <c r="E9" i="33" s="1"/>
  <c r="E61" i="23"/>
  <c r="G9" i="33" s="1"/>
  <c r="O81" i="23"/>
  <c r="M78" i="23"/>
  <c r="O79" i="23"/>
  <c r="O78" i="23"/>
  <c r="N80" i="23"/>
  <c r="F28" i="33" s="1"/>
  <c r="N79" i="23"/>
  <c r="N78" i="23"/>
  <c r="M79" i="23"/>
  <c r="O80" i="23"/>
  <c r="L78" i="23"/>
  <c r="C61" i="23"/>
  <c r="F50" i="23"/>
  <c r="F60" i="23" s="1"/>
  <c r="I7" i="33" s="1"/>
  <c r="H39" i="23"/>
  <c r="H40" i="23"/>
  <c r="E56" i="23"/>
  <c r="E67" i="23" s="1"/>
  <c r="E74" i="23" s="1"/>
  <c r="H42" i="23"/>
  <c r="H48" i="23"/>
  <c r="D74" i="23"/>
  <c r="F7" i="33"/>
  <c r="G74" i="23"/>
  <c r="K7" i="33"/>
  <c r="F33" i="23"/>
  <c r="G30" i="23"/>
  <c r="G33" i="23" s="1"/>
  <c r="G61" i="23" s="1"/>
  <c r="D81" i="23"/>
  <c r="M33" i="23"/>
  <c r="E80" i="23" s="1"/>
  <c r="L34" i="23"/>
  <c r="L35" i="23" s="1"/>
  <c r="L36" i="23" s="1"/>
  <c r="D80" i="23"/>
  <c r="G17" i="34" l="1"/>
  <c r="G28" i="33"/>
  <c r="D29" i="33"/>
  <c r="C83" i="23"/>
  <c r="C84" i="23" s="1"/>
  <c r="C27" i="33"/>
  <c r="C29" i="33" s="1"/>
  <c r="C44" i="23"/>
  <c r="C68" i="23" s="1"/>
  <c r="E26" i="33"/>
  <c r="E29" i="33" s="1"/>
  <c r="M50" i="23"/>
  <c r="M52" i="23"/>
  <c r="M51" i="23"/>
  <c r="E44" i="23"/>
  <c r="E68" i="23" s="1"/>
  <c r="H9" i="33" s="1"/>
  <c r="E62" i="23"/>
  <c r="E63" i="23" s="1"/>
  <c r="G11" i="33" s="1"/>
  <c r="G12" i="33" s="1"/>
  <c r="D75" i="23"/>
  <c r="D69" i="23"/>
  <c r="D70" i="23" s="1"/>
  <c r="F11" i="33" s="1"/>
  <c r="F12" i="33" s="1"/>
  <c r="H50" i="23"/>
  <c r="D62" i="23"/>
  <c r="D63" i="23" s="1"/>
  <c r="E11" i="33" s="1"/>
  <c r="E12" i="33" s="1"/>
  <c r="H60" i="23"/>
  <c r="M7" i="33" s="1"/>
  <c r="C9" i="33"/>
  <c r="C62" i="23"/>
  <c r="F74" i="23"/>
  <c r="H74" i="23" s="1"/>
  <c r="H56" i="23"/>
  <c r="H67" i="23" s="1"/>
  <c r="N7" i="33" s="1"/>
  <c r="H7" i="33"/>
  <c r="G62" i="23"/>
  <c r="K9" i="33"/>
  <c r="D84" i="23"/>
  <c r="H30" i="23"/>
  <c r="F61" i="23"/>
  <c r="I9" i="33" s="1"/>
  <c r="H33" i="23"/>
  <c r="E81" i="23"/>
  <c r="N33" i="23"/>
  <c r="M34" i="23"/>
  <c r="M35" i="23" s="1"/>
  <c r="M36" i="23" s="1"/>
  <c r="H83" i="23" l="1"/>
  <c r="F41" i="23"/>
  <c r="F44" i="23" s="1"/>
  <c r="F68" i="23" s="1"/>
  <c r="J9" i="33" s="1"/>
  <c r="D9" i="33"/>
  <c r="C69" i="23"/>
  <c r="C75" i="23"/>
  <c r="E69" i="23"/>
  <c r="H10" i="33" s="1"/>
  <c r="E75" i="23"/>
  <c r="E10" i="33"/>
  <c r="G10" i="33"/>
  <c r="F10" i="33"/>
  <c r="D76" i="23"/>
  <c r="C63" i="23"/>
  <c r="C11" i="33" s="1"/>
  <c r="C12" i="33" s="1"/>
  <c r="C10" i="33"/>
  <c r="G63" i="23"/>
  <c r="K11" i="33" s="1"/>
  <c r="K12" i="33" s="1"/>
  <c r="K10" i="33"/>
  <c r="F62" i="23"/>
  <c r="I10" i="33" s="1"/>
  <c r="H61" i="23"/>
  <c r="E84" i="23"/>
  <c r="F81" i="23"/>
  <c r="O33" i="23"/>
  <c r="N34" i="23"/>
  <c r="N35" i="23" s="1"/>
  <c r="N36" i="23" s="1"/>
  <c r="F80" i="23"/>
  <c r="N52" i="23" l="1"/>
  <c r="N51" i="23"/>
  <c r="N50" i="23"/>
  <c r="N49" i="23"/>
  <c r="F26" i="33"/>
  <c r="F29" i="33" s="1"/>
  <c r="C70" i="23"/>
  <c r="D11" i="33" s="1"/>
  <c r="D12" i="33" s="1"/>
  <c r="D10" i="33"/>
  <c r="C76" i="23"/>
  <c r="F75" i="23"/>
  <c r="F69" i="23"/>
  <c r="J10" i="33" s="1"/>
  <c r="E70" i="23"/>
  <c r="H11" i="33" s="1"/>
  <c r="H12" i="33" s="1"/>
  <c r="E76" i="23"/>
  <c r="H62" i="23"/>
  <c r="M9" i="33"/>
  <c r="F63" i="23"/>
  <c r="I11" i="33" s="1"/>
  <c r="I12" i="33" s="1"/>
  <c r="F84" i="23"/>
  <c r="O34" i="23"/>
  <c r="O35" i="23" s="1"/>
  <c r="O36" i="23" s="1"/>
  <c r="G81" i="23"/>
  <c r="H81" i="23" s="1"/>
  <c r="G80" i="23"/>
  <c r="G41" i="23" l="1"/>
  <c r="F76" i="23"/>
  <c r="F70" i="23"/>
  <c r="J11" i="33" s="1"/>
  <c r="J12" i="33" s="1"/>
  <c r="G84" i="23"/>
  <c r="H63" i="23"/>
  <c r="M11" i="33" s="1"/>
  <c r="M12" i="33" s="1"/>
  <c r="M10" i="33"/>
  <c r="H80" i="23"/>
  <c r="H84" i="23" s="1"/>
  <c r="H41" i="23" l="1"/>
  <c r="H44" i="23" s="1"/>
  <c r="G44" i="23"/>
  <c r="G68" i="23" s="1"/>
  <c r="G26" i="33"/>
  <c r="G29" i="33" s="1"/>
  <c r="L9" i="33" l="1"/>
  <c r="H68" i="23"/>
  <c r="G75" i="23"/>
  <c r="H75" i="23" s="1"/>
  <c r="G69" i="23"/>
  <c r="L10" i="33" l="1"/>
  <c r="G70" i="23"/>
  <c r="L11" i="33" s="1"/>
  <c r="L12" i="33" s="1"/>
  <c r="G76" i="23"/>
  <c r="H76" i="23" s="1"/>
  <c r="H69" i="23"/>
  <c r="N9" i="33"/>
  <c r="H70" i="23" l="1"/>
  <c r="N11" i="33" s="1"/>
  <c r="N12" i="33" s="1"/>
  <c r="N10" i="3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Byron Clayton</author>
  </authors>
  <commentList>
    <comment ref="D70" authorId="0" shapeId="0" xr:uid="{2246CBBC-EFC6-4235-A48D-D47AF161A491}">
      <text>
        <r>
          <rPr>
            <sz val="9"/>
            <color indexed="81"/>
            <rFont val="Tahoma"/>
            <family val="2"/>
          </rPr>
          <t>$4,683 is the average cost per hire for nonexecutives in all sectors per the SHRM 2022 HR Benchmarking Reports.</t>
        </r>
      </text>
    </comment>
    <comment ref="D78" authorId="0" shapeId="0" xr:uid="{80D90FEB-83DB-49B0-9BE8-F17FE0AD7192}">
      <text>
        <r>
          <rPr>
            <sz val="9"/>
            <color indexed="81"/>
            <rFont val="Tahoma"/>
            <family val="2"/>
          </rPr>
          <t xml:space="preserve">32% is a generally accepted value.
</t>
        </r>
      </text>
    </comment>
    <comment ref="D84" authorId="0" shapeId="0" xr:uid="{734228F4-0F84-427D-95A2-8477F33A6891}">
      <text>
        <r>
          <rPr>
            <sz val="9"/>
            <color indexed="81"/>
            <rFont val="Tahoma"/>
            <family val="2"/>
          </rPr>
          <t xml:space="preserve">Divided the cost per hire for a Traditional Hire in half.
</t>
        </r>
      </text>
    </comment>
    <comment ref="D113" authorId="0" shapeId="0" xr:uid="{68BDFFA5-42FC-49C2-997B-CEA477AA048E}">
      <text>
        <r>
          <rPr>
            <sz val="9"/>
            <color indexed="81"/>
            <rFont val="Tahoma"/>
            <family val="2"/>
          </rPr>
          <t xml:space="preserve">$331,209 was listed as the average revenue per employee for all sectors per the SHRM 2022 Benchmarking Reports.
$106,654 was listed as the median revenue per employee.
</t>
        </r>
      </text>
    </comment>
    <comment ref="D118" authorId="0" shapeId="0" xr:uid="{998700DC-3260-4F04-9C75-3FEE7B0527A6}">
      <text>
        <r>
          <rPr>
            <sz val="9"/>
            <color indexed="81"/>
            <rFont val="Tahoma"/>
            <family val="2"/>
          </rPr>
          <t xml:space="preserve">Account for learning curve of new employee.
</t>
        </r>
      </text>
    </comment>
    <comment ref="D141" authorId="0" shapeId="0" xr:uid="{5DF3B825-952A-4BFB-A335-614FB8F95D1C}">
      <text>
        <r>
          <rPr>
            <sz val="9"/>
            <color indexed="81"/>
            <rFont val="Tahoma"/>
            <family val="2"/>
          </rPr>
          <t xml:space="preserve">Sourced from Cost of Turnover worksheet Section E.
</t>
        </r>
      </text>
    </comment>
    <comment ref="D143" authorId="0" shapeId="0" xr:uid="{7AB39839-9583-4C40-A2C5-8A3B1A93967D}">
      <text>
        <r>
          <rPr>
            <sz val="9"/>
            <color indexed="81"/>
            <rFont val="Tahoma"/>
            <family val="2"/>
          </rPr>
          <t xml:space="preserve">Sourced from Cost of Turnover worksheet Section F.
</t>
        </r>
      </text>
    </comment>
    <comment ref="D145" authorId="0" shapeId="0" xr:uid="{A25584D3-EAEA-4621-9E88-4BFDCFA9F42A}">
      <text>
        <r>
          <rPr>
            <sz val="9"/>
            <color indexed="81"/>
            <rFont val="Tahoma"/>
            <family val="2"/>
          </rPr>
          <t xml:space="preserve">30% is the average annual turnover rate for all sectors per the SHRM 2022 HR Benchmarking Reports
15% is the median annual turnover rate for all sectors. </t>
        </r>
      </text>
    </comment>
    <comment ref="D147" authorId="0" shapeId="0" xr:uid="{AB43CBD5-FF56-4FC5-9017-B38357BF1253}">
      <text>
        <r>
          <rPr>
            <sz val="9"/>
            <color indexed="81"/>
            <rFont val="Tahoma"/>
            <family val="2"/>
          </rPr>
          <t xml:space="preserve">Per Apprenticeship.gov, the average turnover rate for people completing apprenticeship programs is approximately 10%.
</t>
        </r>
      </text>
    </comment>
    <comment ref="D151" authorId="0" shapeId="0" xr:uid="{6D0211B6-6AEC-4F3F-BEF2-BB83E95BB88B}">
      <text>
        <r>
          <rPr>
            <sz val="9"/>
            <color indexed="81"/>
            <rFont val="Tahoma"/>
            <family val="2"/>
          </rPr>
          <t xml:space="preserve">$166.70 was calculated using the Cost of Vacancy worksheet
</t>
        </r>
      </text>
    </comment>
    <comment ref="D153" authorId="0" shapeId="0" xr:uid="{E02F5D62-9015-4F0D-BD4C-C751E852EC8E}">
      <text>
        <r>
          <rPr>
            <sz val="9"/>
            <color indexed="81"/>
            <rFont val="Tahoma"/>
            <family val="2"/>
          </rPr>
          <t xml:space="preserve">50 days is the average time to fill for nonexecutives in the Construction/Utilties/Agriculture/Mining industry sector per the SHRM 2022 HR Benchmarking Report.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Byron Clayton</author>
  </authors>
  <commentList>
    <comment ref="B29" authorId="0" shapeId="0" xr:uid="{173F55A0-B7BA-4414-A79D-4967E4F227F4}">
      <text>
        <r>
          <rPr>
            <b/>
            <sz val="9"/>
            <color indexed="81"/>
            <rFont val="Tahoma"/>
            <family val="2"/>
          </rPr>
          <t xml:space="preserve">References:
 </t>
        </r>
        <r>
          <rPr>
            <sz val="9"/>
            <color indexed="81"/>
            <rFont val="Tahoma"/>
            <family val="2"/>
          </rPr>
          <t xml:space="preserve"> - 2016 Study "The Benefits and Costs of Apprenticeship" by the US Dept. of Commerce and Case Western Reserve University 
  - Dept. of Commerce Apprenticeship Benefits and Cost Calculator
  - Oregon Apprenticeship ROI Calculator for Registered Apprenticeship Programs</t>
        </r>
      </text>
    </comment>
    <comment ref="B36" authorId="0" shapeId="0" xr:uid="{02763416-CC0B-4DC2-99A8-3A12C9882337}">
      <text>
        <r>
          <rPr>
            <b/>
            <sz val="9"/>
            <color indexed="81"/>
            <rFont val="Tahoma"/>
            <family val="2"/>
          </rPr>
          <t xml:space="preserve">References:
 </t>
        </r>
        <r>
          <rPr>
            <sz val="9"/>
            <color indexed="81"/>
            <rFont val="Tahoma"/>
            <family val="2"/>
          </rPr>
          <t xml:space="preserve"> - 2016 Study "The Benefits and Costs of Apprenticeship" by the US Dept. of Commerce and Case Western Reserve University 
  - Dept. of Commerce Apprenticeship Benefits and Cost Calculator
  - Oregon Apprenticeship ROI Calculator for Registered Apprenticeship Programs</t>
        </r>
      </text>
    </comment>
    <comment ref="B47" authorId="0" shapeId="0" xr:uid="{0B04D5BF-E7C1-47CC-95A0-D0447BBB4A58}">
      <text>
        <r>
          <rPr>
            <b/>
            <sz val="9"/>
            <color indexed="81"/>
            <rFont val="Tahoma"/>
            <family val="2"/>
          </rPr>
          <t xml:space="preserve">References:
</t>
        </r>
        <r>
          <rPr>
            <sz val="9"/>
            <color indexed="81"/>
            <rFont val="Tahoma"/>
            <family val="2"/>
          </rPr>
          <t xml:space="preserve">  - 2016 Study "The Benefits and Costs of Apprenticeship" by the US Dept. of Commerce and Case Western Reserve University 
  - Dept. of Commerce Apprenticeship Benefits and Cost Calculator
  - Oregon Apprenticeship ROI Calculator for Registered Apprenticeship Programs
</t>
        </r>
      </text>
    </comment>
    <comment ref="B53" authorId="0" shapeId="0" xr:uid="{D76171C6-1E1D-476A-8266-BAC65021B1B0}">
      <text>
        <r>
          <rPr>
            <b/>
            <sz val="9"/>
            <color indexed="81"/>
            <rFont val="Tahoma"/>
            <family val="2"/>
          </rPr>
          <t xml:space="preserve">References:
</t>
        </r>
        <r>
          <rPr>
            <sz val="9"/>
            <color indexed="81"/>
            <rFont val="Tahoma"/>
            <family val="2"/>
          </rPr>
          <t xml:space="preserve">  - 2016 Study "The Benefits and Costs of Apprenticeship" by the US Dept. of Commerce and Case Western Reserve University 
  - Dept. of Commerce Apprenticeship Benefits and Cost Calculator
  - Oregon Apprenticeship ROI Calculator for Registered Apprenticeship Programs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Byron Clayton</author>
  </authors>
  <commentList>
    <comment ref="D10" authorId="0" shapeId="0" xr:uid="{D33F3AD1-16B0-47A7-BA32-7B45942703A4}">
      <text>
        <r>
          <rPr>
            <sz val="9"/>
            <color indexed="81"/>
            <rFont val="Tahoma"/>
            <family val="2"/>
          </rPr>
          <t xml:space="preserve">Sourced from the ROI Questionnaire Section D, Item 2.
</t>
        </r>
      </text>
    </comment>
    <comment ref="D12" authorId="0" shapeId="0" xr:uid="{EE337877-2FD4-4A03-B45B-0648CE9203A7}">
      <text>
        <r>
          <rPr>
            <sz val="9"/>
            <color indexed="81"/>
            <rFont val="Tahoma"/>
            <family val="2"/>
          </rPr>
          <t xml:space="preserve">Sourced from the ROI Questionnaire Section D, Item 3.
</t>
        </r>
      </text>
    </comment>
    <comment ref="D14" authorId="0" shapeId="0" xr:uid="{89AB9D8C-BD68-49D5-95A9-D9CA703AE043}">
      <text>
        <r>
          <rPr>
            <sz val="9"/>
            <color indexed="81"/>
            <rFont val="Tahoma"/>
            <family val="2"/>
          </rPr>
          <t>54 days is the average time to fill for nonexecutives in the all sectors per the SHRM 2022 HR Benchmarking Report
44 days is the median time to fill for nonexecutives.</t>
        </r>
      </text>
    </comment>
    <comment ref="D22" authorId="0" shapeId="0" xr:uid="{93EBFC86-9EB4-44B8-BA75-C64BCB983FEC}">
      <text>
        <r>
          <rPr>
            <sz val="9"/>
            <color indexed="81"/>
            <rFont val="Tahoma"/>
            <family val="2"/>
          </rPr>
          <t xml:space="preserve">Includes time and a half for overtime
</t>
        </r>
      </text>
    </comment>
    <comment ref="D36" authorId="0" shapeId="0" xr:uid="{9F70BC9B-2A5E-4119-BB2C-E65A0E72089F}">
      <text>
        <r>
          <rPr>
            <sz val="9"/>
            <color indexed="81"/>
            <rFont val="Tahoma"/>
            <family val="2"/>
          </rPr>
          <t>Sourced from the ROI Questionnaire Section F, Item 1.</t>
        </r>
      </text>
    </comment>
    <comment ref="D38" authorId="0" shapeId="0" xr:uid="{F1B67897-AAC1-4E61-A89E-92D960773442}">
      <text>
        <r>
          <rPr>
            <sz val="9"/>
            <color indexed="81"/>
            <rFont val="Tahoma"/>
            <family val="2"/>
          </rPr>
          <t xml:space="preserve">Example, if one worker is filling in for 4 hours per day, 50% of work is not completed.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Byron Clayton</author>
  </authors>
  <commentList>
    <comment ref="D12" authorId="0" shapeId="0" xr:uid="{ED3CBD38-837A-46EB-A6C6-3CA634567B65}">
      <text>
        <r>
          <rPr>
            <sz val="9"/>
            <color indexed="81"/>
            <rFont val="Tahoma"/>
            <family val="2"/>
          </rPr>
          <t>Sourced from the Cost of Vacancy Worksheet Section B, Item 1.</t>
        </r>
      </text>
    </comment>
    <comment ref="D14" authorId="0" shapeId="0" xr:uid="{81388FE6-6796-40FA-AB2B-CF5EBCF698D1}">
      <text>
        <r>
          <rPr>
            <sz val="9"/>
            <color indexed="81"/>
            <rFont val="Tahoma"/>
            <family val="2"/>
          </rPr>
          <t xml:space="preserve">$31.52 is from Lightcast for an HR Specialist in Hillsborough County
</t>
        </r>
      </text>
    </comment>
    <comment ref="D16" authorId="0" shapeId="0" xr:uid="{04DCBC93-9D1F-428C-9359-2E17D1062C62}">
      <text>
        <r>
          <rPr>
            <sz val="9"/>
            <color indexed="81"/>
            <rFont val="Tahoma"/>
            <family val="2"/>
          </rPr>
          <t xml:space="preserve">Sourced from the Cost of Vacancy Worksheet Section B, Item 2.
</t>
        </r>
      </text>
    </comment>
    <comment ref="D22" authorId="0" shapeId="0" xr:uid="{81231430-B942-4256-8B89-065B0A7C3B75}">
      <text>
        <r>
          <rPr>
            <sz val="9"/>
            <color indexed="81"/>
            <rFont val="Tahoma"/>
            <family val="2"/>
          </rPr>
          <t xml:space="preserve">Sourced from the Cost of Vacancy Worksheet Section D, Item 1.
</t>
        </r>
      </text>
    </comment>
    <comment ref="D28" authorId="0" shapeId="0" xr:uid="{797857BB-20B2-4552-88BB-8A7899A378DB}">
      <text>
        <r>
          <rPr>
            <sz val="9"/>
            <color indexed="81"/>
            <rFont val="Tahoma"/>
            <family val="2"/>
          </rPr>
          <t xml:space="preserve">Sourced from the Cost of Vacancy Worksheet Section E.
</t>
        </r>
      </text>
    </comment>
    <comment ref="D30" authorId="0" shapeId="0" xr:uid="{1812EC9B-0D0C-4F15-A8B3-6EACDF8496FA}">
      <text>
        <r>
          <rPr>
            <sz val="9"/>
            <color indexed="81"/>
            <rFont val="Tahoma"/>
            <family val="2"/>
          </rPr>
          <t xml:space="preserve">Sourced from Cost of Vacancy worksheet Section B, Item 3.
</t>
        </r>
      </text>
    </comment>
    <comment ref="D32" authorId="0" shapeId="0" xr:uid="{3BB63142-FD41-47C7-A70A-0029C9A1FA2D}">
      <text>
        <r>
          <rPr>
            <sz val="9"/>
            <color indexed="81"/>
            <rFont val="Tahoma"/>
            <family val="2"/>
          </rPr>
          <t>The Apprentice pipeline provides a talent pool of journeyworkers (currently and previously employed by the company) that can be quickly accessed to fill the position. This estimate is 50% of the time to recruit a Traditional Hire.</t>
        </r>
      </text>
    </comment>
    <comment ref="D40" authorId="0" shapeId="0" xr:uid="{AA188685-DD44-4A57-9DEA-887F03A123CE}">
      <text>
        <r>
          <rPr>
            <sz val="9"/>
            <color indexed="81"/>
            <rFont val="Tahoma"/>
            <family val="2"/>
          </rPr>
          <t xml:space="preserve">Sourced from the ROI Questionnaire Section D, Item 1.
</t>
        </r>
      </text>
    </comment>
    <comment ref="D42" authorId="0" shapeId="0" xr:uid="{8412B8FB-62F7-43EA-BCBD-DE387B9F336C}">
      <text>
        <r>
          <rPr>
            <sz val="9"/>
            <color indexed="81"/>
            <rFont val="Tahoma"/>
            <family val="2"/>
          </rPr>
          <t xml:space="preserve">Sourced from the ROI Questionnaire Section E, Item 1.
</t>
        </r>
      </text>
    </comment>
  </commentList>
</comments>
</file>

<file path=xl/sharedStrings.xml><?xml version="1.0" encoding="utf-8"?>
<sst xmlns="http://schemas.openxmlformats.org/spreadsheetml/2006/main" count="647" uniqueCount="279">
  <si>
    <t>Total</t>
  </si>
  <si>
    <t>Advertising and marketing expenses</t>
  </si>
  <si>
    <t>Background check expenses</t>
  </si>
  <si>
    <t>Campus recruiting expenses</t>
  </si>
  <si>
    <t>Consulting services</t>
  </si>
  <si>
    <t>Fees for contract recruiters</t>
  </si>
  <si>
    <t>Drug-testing expenses</t>
  </si>
  <si>
    <t>Employee referral awards/ payments</t>
  </si>
  <si>
    <t>Immigration expenses</t>
  </si>
  <si>
    <t>Job fair/recruiting event expenses</t>
  </si>
  <si>
    <t>Pre-hire health screens</t>
  </si>
  <si>
    <t>Pre-screening fees</t>
  </si>
  <si>
    <t>Recruitment process outsourcing fees</t>
  </si>
  <si>
    <t>Relocation fees</t>
  </si>
  <si>
    <t>Sign-on bonuses</t>
  </si>
  <si>
    <t>Sourcing costs</t>
  </si>
  <si>
    <t>Travel and expenses, candidate</t>
  </si>
  <si>
    <t>Travel and expenses, recruiter</t>
  </si>
  <si>
    <t>Technology costs</t>
  </si>
  <si>
    <t>Third-party agency fees</t>
  </si>
  <si>
    <t>COST PER HIRE</t>
  </si>
  <si>
    <t>Year 1</t>
  </si>
  <si>
    <t>Year 2</t>
  </si>
  <si>
    <t>Year 3</t>
  </si>
  <si>
    <t>Year 4</t>
  </si>
  <si>
    <t>Replacement Costs</t>
  </si>
  <si>
    <t>Net Benefits</t>
  </si>
  <si>
    <t>Value</t>
  </si>
  <si>
    <t>Subtotal</t>
  </si>
  <si>
    <t>Apprenticeship Program Fixed Costs</t>
  </si>
  <si>
    <t>Year 5</t>
  </si>
  <si>
    <t xml:space="preserve">Benefits per Traditional Hire </t>
  </si>
  <si>
    <t>Benefits per Apprentice</t>
  </si>
  <si>
    <t>Traditional Hires</t>
  </si>
  <si>
    <t>Apprentices</t>
  </si>
  <si>
    <t>Internal costs per year to recruit and onboard</t>
  </si>
  <si>
    <t>External costs per year to recruit</t>
  </si>
  <si>
    <t>Traditional Hire Costs</t>
  </si>
  <si>
    <t>Traditional Hire Benefits</t>
  </si>
  <si>
    <t>Apprentice Benefits</t>
  </si>
  <si>
    <t>Apprentice Costs</t>
  </si>
  <si>
    <t>Apprenticeship Program in Years (1 - 4)</t>
  </si>
  <si>
    <t>1 year program</t>
  </si>
  <si>
    <t>2 year program</t>
  </si>
  <si>
    <t>3 year program</t>
  </si>
  <si>
    <t>4 year program</t>
  </si>
  <si>
    <t>No. of Apprentices Hired per Year</t>
  </si>
  <si>
    <t>Annual Increase - Percent of Wages for Benefits &amp; Taxes</t>
  </si>
  <si>
    <t>Annual Increase - Related Technical Instruction Costs</t>
  </si>
  <si>
    <t>Total Number of Apprentices in the Program per Year</t>
  </si>
  <si>
    <t>Annual Increase -On-the-Job Training Costs</t>
  </si>
  <si>
    <t>RTI Lookup</t>
  </si>
  <si>
    <t>OJT Lookup</t>
  </si>
  <si>
    <t>Turnover Rate - Traditional Hires</t>
  </si>
  <si>
    <t>Total Number of Apprentices Grads Accumulated</t>
  </si>
  <si>
    <t>CoT Lookup</t>
  </si>
  <si>
    <t>No. of Traditional Hires Working per Year</t>
  </si>
  <si>
    <t>TO Cost per Worker for Apprentices</t>
  </si>
  <si>
    <t>No. of Apprentices in the Program per Year</t>
  </si>
  <si>
    <t>Program Year</t>
  </si>
  <si>
    <t>No. of Apprenticeship Grads Accumulated per Year</t>
  </si>
  <si>
    <t xml:space="preserve">Year 3 </t>
  </si>
  <si>
    <t>Cost of Turnover Reduction</t>
  </si>
  <si>
    <t>Cost of Vacancy Reduction</t>
  </si>
  <si>
    <t>Program Management</t>
  </si>
  <si>
    <t>Mentor Training</t>
  </si>
  <si>
    <t>Tools &amp; Equipment Purchases/Maintenance</t>
  </si>
  <si>
    <t>Subtract PCOG Grant or Other Program Subsidies</t>
  </si>
  <si>
    <t>Recruitment &amp; Onboarding</t>
  </si>
  <si>
    <t>Percent of Wages for Benefits &amp; Taxes</t>
  </si>
  <si>
    <t>Related Technical Instruction Costs</t>
  </si>
  <si>
    <t>On-the-Job Training Costs</t>
  </si>
  <si>
    <t>Subtract WIOA or Other Apprentice Subsidies</t>
  </si>
  <si>
    <t>Program Cost Savings (PCOG &amp; Other Funding)</t>
  </si>
  <si>
    <t>Apprentice Cost Savings (WIOA &amp; Other Subsidies)</t>
  </si>
  <si>
    <t>Enter the number of apprentices you plan to hire per year.</t>
  </si>
  <si>
    <t>General Parameters</t>
  </si>
  <si>
    <t>Direct Costs per Traditional Hire</t>
  </si>
  <si>
    <t>Direct Costs per Apprentice</t>
  </si>
  <si>
    <t>When in doubt, use the default values, especially for the first pass through the questionnaire.</t>
  </si>
  <si>
    <t>Enter the percentage of annual increase projected for Percent of Wages for Benefits &amp; Taxes (optional).</t>
  </si>
  <si>
    <t>Enter the percentage of annual increase projected for Related Technical Instruction Costs (optional).</t>
  </si>
  <si>
    <t>Enter the percentage of annual increase projected for On-the-Job Training Costs (optional).</t>
  </si>
  <si>
    <t>Benefits per Traditional Hire</t>
  </si>
  <si>
    <t xml:space="preserve">Average Revenue per Employee </t>
  </si>
  <si>
    <t>Annual Increase -Average Revenue per Employee</t>
  </si>
  <si>
    <t>Enter the percentage of annual increase projected for Average Revenue per Employee (optional).</t>
  </si>
  <si>
    <t>Percent of Wages, Percent of Productivity, No. of Apprentices, &amp; No. of Grads per Program Length</t>
  </si>
  <si>
    <t>Cohort</t>
  </si>
  <si>
    <t>1-Year Program - Percentage of Annual Standard Wages per Apprentice</t>
  </si>
  <si>
    <t>Average</t>
  </si>
  <si>
    <t>2-Year Program - Percentage of Annual Standard Wages per Apprentice</t>
  </si>
  <si>
    <t>3-Year Program - Percentage of Annual Standard Wages per Apprentice</t>
  </si>
  <si>
    <t>4-Year Program - Percentage of Annual Standard Wages per Apprentice</t>
  </si>
  <si>
    <t>1-Year Program - Percentage of Productivity for Apprentice</t>
  </si>
  <si>
    <t>2-Year Program - Percentage of Productivity for Apprentice</t>
  </si>
  <si>
    <t>3-Year Program - Percentage of Productivity for Apprentice</t>
  </si>
  <si>
    <t>4-Year Program - Percentage of Productivity for Apprentice</t>
  </si>
  <si>
    <t>Combined - Percentage of Annual Standard Wages for Apprentice</t>
  </si>
  <si>
    <t>Combined - Percentage of Productivity for Apprentice</t>
  </si>
  <si>
    <t>Total Savings &amp; Funding Driven by Apprenticeship</t>
  </si>
  <si>
    <t>ROI for Traditional Hires</t>
  </si>
  <si>
    <t>ROI for Apprentices</t>
  </si>
  <si>
    <t>Traditional Hire Benefits less Apprentice Benefits</t>
  </si>
  <si>
    <t>Traditional Hire Net Benefits less Apprentice Net Benefits</t>
  </si>
  <si>
    <t>Traditional Hire Costs less Apprentice Costs</t>
  </si>
  <si>
    <t>ROI Calculations per Traditional Hire</t>
  </si>
  <si>
    <t>ROI Calculations per Apprentice</t>
  </si>
  <si>
    <t>Comparison of Traditional Hire vs Apprentice</t>
  </si>
  <si>
    <t>Annual Wages for Journeyperson</t>
  </si>
  <si>
    <t>Enter the percentage of annual increase projected for Annual Wages per Traditional Hire (optional).</t>
  </si>
  <si>
    <t>Combined Productivity Percentage per Apprentice</t>
  </si>
  <si>
    <t>Productivity Percentage per Traditional Hire</t>
  </si>
  <si>
    <t>Combined Percentage of Annual Wages for Journeyperson</t>
  </si>
  <si>
    <t>Percentage of Annual Wages per Apprentice</t>
  </si>
  <si>
    <t>Percentage of Productivity per Apprentice</t>
  </si>
  <si>
    <t>Program Length</t>
  </si>
  <si>
    <t>1-Year Program</t>
  </si>
  <si>
    <t>2-Year Program</t>
  </si>
  <si>
    <t>3-Year Program</t>
  </si>
  <si>
    <t>4-Year Program</t>
  </si>
  <si>
    <r>
      <t xml:space="preserve">Answer the questions by entering values in the </t>
    </r>
    <r>
      <rPr>
        <b/>
        <sz val="10"/>
        <rFont val="Verdana"/>
        <family val="2"/>
      </rPr>
      <t>YELLOW BOXES ONLY</t>
    </r>
    <r>
      <rPr>
        <sz val="10"/>
        <color theme="1"/>
        <rFont val="Verdana"/>
        <family val="2"/>
        <charset val="128"/>
      </rPr>
      <t>.</t>
    </r>
  </si>
  <si>
    <t>Annual Wages per Traditional Hire</t>
  </si>
  <si>
    <t xml:space="preserve">Annual Increase - Recruitment &amp; Onboarding </t>
  </si>
  <si>
    <t>Annual Increase - Annual Wages</t>
  </si>
  <si>
    <t>View the percentage of annual increase projected for Annual Wages per Journeyperson (Same as percentage for Traditional Hire).</t>
  </si>
  <si>
    <t>View the percentage of annual increase projected for Percent of Wages for Benefits &amp; Taxes (Same as percentage for Traditional Hire).</t>
  </si>
  <si>
    <t>View the percentage of annual increase projected for Average Revenue per Employee (optional).</t>
  </si>
  <si>
    <t>Enter the amount for Mentor Training per year.</t>
  </si>
  <si>
    <t>Enter the amount for Tools &amp; Equipment Purchase/Maintenance per year.</t>
  </si>
  <si>
    <t>Enter the Productivity Percentage per Traditional Hire.</t>
  </si>
  <si>
    <t>Cost of Turnover Parameters</t>
  </si>
  <si>
    <t>Cost of Turnover per Worker</t>
  </si>
  <si>
    <t>Turnover Rate - Journeyworkers</t>
  </si>
  <si>
    <t>Cost of Vacancy per Day per Worker</t>
  </si>
  <si>
    <t>What is the hourly wage for the vacant position?</t>
  </si>
  <si>
    <t>Cost Savings from Vacant Position</t>
  </si>
  <si>
    <t>Other costs?</t>
  </si>
  <si>
    <t>How many 8-hour workdays will the position be vacant?</t>
  </si>
  <si>
    <t>What is the % of wages for taxes and benefits?</t>
  </si>
  <si>
    <t>If staff is filling in, how many hours per day?</t>
  </si>
  <si>
    <t>What is the total cost for temporary workers to fill in?</t>
  </si>
  <si>
    <t>What is the total cost for outsourcing?</t>
  </si>
  <si>
    <t>Lost Revenue</t>
  </si>
  <si>
    <t>What is your annual revenue per employee?</t>
  </si>
  <si>
    <t>Directions to Calculate the Cost of Vacancy per Day</t>
  </si>
  <si>
    <t>Directions to Calculate a 5-Year ROI Analysis</t>
  </si>
  <si>
    <t>If staff is filling in, what is the hourly wage, including overtime?</t>
  </si>
  <si>
    <t>What is the percentage of work not completed by the replacement worker(s)?</t>
  </si>
  <si>
    <t>Cost of Vacancy Parameters</t>
  </si>
  <si>
    <t>COST OF VACANCY PER DAY PER WORKER</t>
  </si>
  <si>
    <t>Enter the percentage of annual increases projected for Cost per Hire (optional).</t>
  </si>
  <si>
    <t>View the percentage of annual increase projected forCost per Hire (Same as percentage for Traditional Hire).</t>
  </si>
  <si>
    <t>Directions to Calculate the Cost of Turnover per Worker</t>
  </si>
  <si>
    <t>What is your Cost per Hire?  If needed, use the Cost per Hire worksheet?</t>
  </si>
  <si>
    <t>How many hours for the exit interview?</t>
  </si>
  <si>
    <t>What is the hourly wage for HR staff in the exit interview?</t>
  </si>
  <si>
    <t>What is the hourly wage for the departing employee?</t>
  </si>
  <si>
    <t>How many hours of unused vacation time are paid off?</t>
  </si>
  <si>
    <t>COST OF TURNOVER PER WORKER</t>
  </si>
  <si>
    <t>What is the Average Revenue per Employee (Annual revenue / No. of employees)?</t>
  </si>
  <si>
    <t>What is your Cost of Vacancy per Day?  If needed, use the Cost of Vacancy worksheet?</t>
  </si>
  <si>
    <t>Separation Costs per Worker</t>
  </si>
  <si>
    <t>Cost per Hire per Worker</t>
  </si>
  <si>
    <t>What is the average days-to-fill estimate for these types of positions?</t>
  </si>
  <si>
    <t>Cost of Vacancy per Worker</t>
  </si>
  <si>
    <t>PERCENTAGE OF ANNUAL WAGES</t>
  </si>
  <si>
    <t>Enter Cost of Vacancy per day per worker.  If needed, use the Cost of Vacancy worksheet to calculate.</t>
  </si>
  <si>
    <t>Enter the length of your apprenticeship program in years, from 1 to 4 only.</t>
  </si>
  <si>
    <t>Directions to Calculate the Cost Per Hire Per Year</t>
  </si>
  <si>
    <t>External costs per year to onboard</t>
  </si>
  <si>
    <t>Other Cost?</t>
  </si>
  <si>
    <t>TOTAL COST OF FOR RECRUITMENT</t>
  </si>
  <si>
    <t>Number of Hires</t>
  </si>
  <si>
    <t>What is the average hourly cost of recruiting staff?</t>
  </si>
  <si>
    <t>What is the average hourly cost of recruiting management?</t>
  </si>
  <si>
    <t>What is the number of hours per year for recruiting staff?</t>
  </si>
  <si>
    <t>What is the number hours per year for recruiting management?</t>
  </si>
  <si>
    <t>CSTB2023!</t>
  </si>
  <si>
    <t>Microsoft Word - WOTC TAX CREDIT CALCULATION CHART.docx (floridajobs.org)</t>
  </si>
  <si>
    <t>Work Opportunity Tax Credit | U.S. Department of Labor (dol.gov)</t>
  </si>
  <si>
    <t>Costs</t>
  </si>
  <si>
    <t>Traditional</t>
  </si>
  <si>
    <t>Apprentice</t>
  </si>
  <si>
    <t>Traditional Hire vs Apprentice</t>
  </si>
  <si>
    <t>ROI Summary</t>
  </si>
  <si>
    <t>Annual Subsidy Estimates</t>
  </si>
  <si>
    <r>
      <t xml:space="preserve">Enter requested values in the </t>
    </r>
    <r>
      <rPr>
        <b/>
        <sz val="10"/>
        <rFont val="Verdana"/>
        <family val="2"/>
      </rPr>
      <t>YELLOW BOXES ONLY</t>
    </r>
    <r>
      <rPr>
        <sz val="10"/>
        <color theme="1"/>
        <rFont val="Verdana"/>
        <family val="2"/>
        <charset val="128"/>
      </rPr>
      <t>.</t>
    </r>
  </si>
  <si>
    <t>Total IWT</t>
  </si>
  <si>
    <t>Total ITA</t>
  </si>
  <si>
    <t>Total OJT</t>
  </si>
  <si>
    <t>Total WOTC</t>
  </si>
  <si>
    <t>Total Other</t>
  </si>
  <si>
    <t>Estimated Subsidy Totals for Years 1 thru 5</t>
  </si>
  <si>
    <t>Directions to Calculate Annual Apprentice Subsidies</t>
  </si>
  <si>
    <t>Number of apprentices employed.  No more then five apprentices, preapprentices or student interns can be claimed per year.</t>
  </si>
  <si>
    <t>Florida Experiential Learning Tax Credit</t>
  </si>
  <si>
    <t xml:space="preserve">Total Apprentices Employed </t>
  </si>
  <si>
    <t>Estimated Subsidy Totals per Year</t>
  </si>
  <si>
    <t>Companies with up to five apprentices employed are eligible for a $2,000 tax credit each, for a total of up to $10,000 per year. Currently, the credit can be claimed for calendar years 2022 through 2025. Please click on the link below for details.</t>
  </si>
  <si>
    <t>Enter fixed costs for Program Management per year.</t>
  </si>
  <si>
    <t>A.</t>
  </si>
  <si>
    <t>B.</t>
  </si>
  <si>
    <t>C.</t>
  </si>
  <si>
    <t>D.</t>
  </si>
  <si>
    <t>E.</t>
  </si>
  <si>
    <t>F.</t>
  </si>
  <si>
    <t>G.</t>
  </si>
  <si>
    <t>H.</t>
  </si>
  <si>
    <t>I.</t>
  </si>
  <si>
    <t>Enter the cost of lost on-the-job instructor time per apprentice per year.  
Hourly wage x no. of hours)</t>
  </si>
  <si>
    <t>(Hourly wage x No. of hours)</t>
  </si>
  <si>
    <t>Enter the Percentage of Journeyperson Annual Wages each apprentice will receive until they complete the program.  Don't forget to account for fewer hours worked by apprentices.  (Hourly wage x No. of hours)</t>
  </si>
  <si>
    <t>Please estimate the TOTAL Incumbent Worker Training (IWT) funding per year to offset Related Technical Instrucion (RTI) costs.</t>
  </si>
  <si>
    <t>Please estimate the TOTAL amount per year of any other apprentice subsidies.</t>
  </si>
  <si>
    <t xml:space="preserve">Please estimate the TOTAL FL Experiential Learning Tax Credit per year. See the FL EL Tax Credit tab for details.  </t>
  </si>
  <si>
    <t>Enter the Median Annual Wage for a Traditional Hire.  If needed, reference  LMI compensation data for the target occupation and location.</t>
  </si>
  <si>
    <t xml:space="preserve">Enter the estimated Turnover Rate for Journeyworkers completing this apprenticeship program. </t>
  </si>
  <si>
    <t>Enter the days-to-fill a vacancy with a Traditional Hire.</t>
  </si>
  <si>
    <t>Enter the days-to-fill a vacancy using the Apprentice pipeline.</t>
  </si>
  <si>
    <t>Days-to-fill difference between Traditional Hires and Apprenitice Pipeline</t>
  </si>
  <si>
    <t>Enter the Percentage of Productivity per apprentice until they complete the program.  Don't forget to account for fewer hours worked by apprentices.</t>
  </si>
  <si>
    <t xml:space="preserve">Enter the percent of wages for Employer-Paid Benefits &amp; Taxes. </t>
  </si>
  <si>
    <t>Enter the Annual Wage for a new journeyperson.</t>
  </si>
  <si>
    <t>Enter the amount for Related Technical Instruction costs per year per Apprentice.  Includes tuition, books, supplies, exam costs, etc.</t>
  </si>
  <si>
    <t xml:space="preserve">Enter the Average Revenue per Employee (Annual revenue / No. of employees).  If needed, reference the latest SHRM HR Benchmarking Reports. </t>
  </si>
  <si>
    <t>Enter the Turnover Rate for Traditional Hires.  If needed, reference the latest SHRM Benchmarking Reports.</t>
  </si>
  <si>
    <t>What is the average days-to-fill an opening by recruiting a Traditional Hire?</t>
  </si>
  <si>
    <t>What is the % of wages for Employer-Paid Taxes and Benefits?</t>
  </si>
  <si>
    <t>What is the average days-to-fill an opening from the Apprentice pipeline?</t>
  </si>
  <si>
    <t>Cost of Vacancy per Traditional Hire</t>
  </si>
  <si>
    <t>Cost of Vacancy for Apprenticeship Pipeline Hire</t>
  </si>
  <si>
    <t>When sourcing Apprenticeship Pipeline</t>
  </si>
  <si>
    <t>Enter the Cost per Hire amount for Traditional Hires. If needed, use the SHRM general estimate ($4,683) or reference the latest SHRM HR Benchmarking Reports.</t>
  </si>
  <si>
    <t xml:space="preserve">Enter the Cost per Hire amount for an Apprentice.  This should be less than the Cost Per Hire for a Traditional Hire. </t>
  </si>
  <si>
    <t>Please complete the Subsidies Worksheet to populate the values below.</t>
  </si>
  <si>
    <t>View the Cost per Hire for a Traditional Hire.</t>
  </si>
  <si>
    <t>View the Cost per Hire for an Apprentice.</t>
  </si>
  <si>
    <t xml:space="preserve">NOTE:  Per SHRM, the average Cost of Turnover per Worker is 50% - 75% of annual wages. </t>
  </si>
  <si>
    <t>Cost of Turnover when sourcing a Traditional Hire.</t>
  </si>
  <si>
    <t>Cost of Turnover when sourcing an Apprenticeship Pipeline</t>
  </si>
  <si>
    <t>COST OF TURNOVER WHEN SOURCING A TRADITIONAL HIRE</t>
  </si>
  <si>
    <t>COST OF TURNOVER WHEN SOURCING AN APPRENTICESHIP PIPELINE</t>
  </si>
  <si>
    <t>Please complete the Cost of Vacancy Worksheet, then the Cost of Turnover worksheet to populate Items 1 and 2 below.</t>
  </si>
  <si>
    <t>Cost per Hire</t>
  </si>
  <si>
    <r>
      <t>Subtract the amount of the Pathways to Opportunity Grant or other</t>
    </r>
    <r>
      <rPr>
        <sz val="10"/>
        <color theme="1"/>
        <rFont val="Verdana"/>
        <family val="2"/>
      </rPr>
      <t xml:space="preserve"> subsidies for program development/enhancement or fixed costs </t>
    </r>
    <r>
      <rPr>
        <sz val="10"/>
        <color rgb="FFFF0000"/>
        <rFont val="Verdana"/>
        <family val="2"/>
      </rPr>
      <t>(Please enter negative values)</t>
    </r>
    <r>
      <rPr>
        <sz val="10"/>
        <color theme="1"/>
        <rFont val="Verdana"/>
        <family val="2"/>
        <charset val="128"/>
      </rPr>
      <t>.</t>
    </r>
  </si>
  <si>
    <t>Percent of wages for Employer-Paid Benefits &amp; Taxes (Same as percentage for Traditional Hire).</t>
  </si>
  <si>
    <t xml:space="preserve"> Average Revenue per Employee.</t>
  </si>
  <si>
    <t>Combined Productivity Percentage per Apprentice. (Combines  productivity levels of apprentices in different years of the program)</t>
  </si>
  <si>
    <t xml:space="preserve">  - Cost per Hire</t>
  </si>
  <si>
    <t xml:space="preserve">  - Time to Fill</t>
  </si>
  <si>
    <t xml:space="preserve">  - Turnover rate</t>
  </si>
  <si>
    <t>NOTE:  Apprenticeship programs significantly decrease turnover costs by reducing:</t>
  </si>
  <si>
    <t>Annual Wages + Employer-Paid Benefits &amp; Taxes</t>
  </si>
  <si>
    <t>Cost of Turnover</t>
  </si>
  <si>
    <t>Years 1 - 5</t>
  </si>
  <si>
    <t>RTI Cost</t>
  </si>
  <si>
    <t>Costs per Apprentice</t>
  </si>
  <si>
    <t>Costs per Traditional Hire</t>
  </si>
  <si>
    <t>Net Program Fixed Costs</t>
  </si>
  <si>
    <t>* Annual wages are combined and averaged across all Apprentice cohorts.</t>
  </si>
  <si>
    <t>Benefits (Revenue Generated)</t>
  </si>
  <si>
    <r>
      <t>Combined</t>
    </r>
    <r>
      <rPr>
        <sz val="10"/>
        <color theme="1"/>
        <rFont val="Verdana"/>
        <family val="2"/>
      </rPr>
      <t>*</t>
    </r>
    <r>
      <rPr>
        <b/>
        <sz val="10"/>
        <color theme="1"/>
        <rFont val="Verdana"/>
        <family val="2"/>
      </rPr>
      <t xml:space="preserve"> </t>
    </r>
    <r>
      <rPr>
        <sz val="10"/>
        <color theme="1"/>
        <rFont val="Verdana"/>
        <family val="2"/>
        <charset val="128"/>
      </rPr>
      <t>Annual Wages + Employer-Paid Benefits &amp; Taxes</t>
    </r>
  </si>
  <si>
    <t>Less Subsidies</t>
  </si>
  <si>
    <t>Combined Productivity</t>
  </si>
  <si>
    <t>N/A</t>
  </si>
  <si>
    <t>Enter fixed costs for Related Technical Instruction per year.  This includes costs for items such as curriculum development or enhancement and new classroom equipment or maintenance not covered by per student tuition costs.</t>
  </si>
  <si>
    <t>ROI (Net Return)</t>
  </si>
  <si>
    <t>Curriculum Development/Enhancement/Equipment Costs</t>
  </si>
  <si>
    <t>Total No. of Apprentices</t>
  </si>
  <si>
    <t>No. Subsidized</t>
  </si>
  <si>
    <t>$$ per Subsidy</t>
  </si>
  <si>
    <t>Total Subsidy</t>
  </si>
  <si>
    <t xml:space="preserve">Total EL Tax Credit </t>
  </si>
  <si>
    <t>TOTAL RETURN ON EVERY $1.00 SPENT</t>
  </si>
  <si>
    <t xml:space="preserve"> No. of New Apprentices</t>
  </si>
  <si>
    <t>Please estimate the TOTAL annual subsidies from On-the-Job Training (OJT) funding per year to offset wages paid during an on-the-job learning period.  Individuals must be WIOA eligible and lifetime cap applies.</t>
  </si>
  <si>
    <t>Please estimate the TOTAL annual subsidies from Individual Training Account (ITA) funding per year to offset Related Technical Instrucion (RTI) or Supportive Services costs.  Individuals must be WIOA eligible and lifetime cap applies.</t>
  </si>
  <si>
    <t>Please estimate the TOTAL Work Opportunity Tax Credits (WOTC) per year to offset first-year wages paid to new employees from a WOTC Targeted Group.  See the WOTC tab for details.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</si>
</sst>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7" formatCode="&quot;$&quot;#,##0.00_);\(&quot;$&quot;#,##0.00\)"/>
    <numFmt numFmtId="8" formatCode="&quot;$&quot;#,##0.00_);[Red]\(&quot;$&quot;#,##0.00\)"/>
    <numFmt numFmtId="44" formatCode="_(&quot;$&quot;* #,##0.00_);_(&quot;$&quot;* \(#,##0.00\);_(&quot;$&quot;* &quot;-&quot;??_);_(@_)"/>
    <numFmt numFmtId="43" formatCode="_(* #,##0.00_);_(* \(#,##0.00\);_(* &quot;-&quot;??_);_(@_)"/>
    <numFmt numFmtId="164" formatCode="0.0%"/>
    <numFmt numFmtId="165" formatCode="&quot;$&quot;#,##0.00"/>
    <numFmt numFmtId="166" formatCode="_(* #,##0_);_(* \(#,##0\);_(* &quot;-&quot;??_);_(@_)"/>
  </numFmts>
  <fonts count="26">
    <font>
      <sz val="10"/>
      <color theme="1"/>
      <name val="Verdana"/>
      <family val="2"/>
      <charset val="128"/>
    </font>
    <font>
      <b/>
      <sz val="10"/>
      <color theme="1"/>
      <name val="Verdana"/>
      <family val="2"/>
    </font>
    <font>
      <sz val="10"/>
      <name val="Verdana"/>
      <family val="2"/>
    </font>
    <font>
      <u/>
      <sz val="10"/>
      <color theme="10"/>
      <name val="Verdana"/>
      <family val="2"/>
    </font>
    <font>
      <u/>
      <sz val="10"/>
      <color theme="11"/>
      <name val="Verdana"/>
      <family val="2"/>
    </font>
    <font>
      <sz val="10"/>
      <color theme="1"/>
      <name val="Verdana"/>
      <family val="2"/>
    </font>
    <font>
      <sz val="10"/>
      <color theme="1"/>
      <name val="Verdana"/>
      <family val="2"/>
      <charset val="128"/>
    </font>
    <font>
      <b/>
      <sz val="10"/>
      <color theme="0"/>
      <name val="Verdana"/>
      <family val="2"/>
    </font>
    <font>
      <sz val="9"/>
      <color indexed="81"/>
      <name val="Tahoma"/>
      <family val="2"/>
    </font>
    <font>
      <b/>
      <sz val="9"/>
      <color indexed="81"/>
      <name val="Tahoma"/>
      <family val="2"/>
    </font>
    <font>
      <b/>
      <sz val="10"/>
      <name val="Verdana"/>
      <family val="2"/>
    </font>
    <font>
      <sz val="8"/>
      <name val="Verdana"/>
      <family val="2"/>
      <charset val="128"/>
    </font>
    <font>
      <sz val="10"/>
      <color rgb="FF00B050"/>
      <name val="Verdana"/>
      <family val="2"/>
      <charset val="128"/>
    </font>
    <font>
      <sz val="10"/>
      <name val="Verdana"/>
      <family val="2"/>
      <charset val="128"/>
    </font>
    <font>
      <b/>
      <u/>
      <sz val="10"/>
      <color theme="0"/>
      <name val="Verdana"/>
      <family val="2"/>
    </font>
    <font>
      <sz val="10"/>
      <color theme="0"/>
      <name val="Verdana"/>
      <family val="2"/>
    </font>
    <font>
      <b/>
      <sz val="10"/>
      <color rgb="FFFF0000"/>
      <name val="Verdana"/>
      <family val="2"/>
    </font>
    <font>
      <sz val="10"/>
      <color theme="0"/>
      <name val="Verdana"/>
      <family val="2"/>
      <charset val="128"/>
    </font>
    <font>
      <u/>
      <sz val="10"/>
      <color theme="1"/>
      <name val="Verdana"/>
      <family val="2"/>
    </font>
    <font>
      <u/>
      <sz val="10"/>
      <color theme="1"/>
      <name val="Verdana"/>
      <family val="2"/>
      <charset val="128"/>
    </font>
    <font>
      <sz val="8"/>
      <color theme="1"/>
      <name val="Verdana"/>
      <family val="2"/>
    </font>
    <font>
      <u/>
      <sz val="10"/>
      <color theme="10"/>
      <name val="Verdana"/>
      <family val="2"/>
      <charset val="128"/>
    </font>
    <font>
      <sz val="10"/>
      <color rgb="FFFF0000"/>
      <name val="Verdana"/>
      <family val="2"/>
      <charset val="128"/>
    </font>
    <font>
      <b/>
      <u/>
      <sz val="10"/>
      <color theme="1"/>
      <name val="Verdana"/>
      <family val="2"/>
    </font>
    <font>
      <sz val="10"/>
      <color rgb="FFFF0000"/>
      <name val="Verdana"/>
      <family val="2"/>
    </font>
    <font>
      <strike/>
      <sz val="10"/>
      <color theme="1"/>
      <name val="Verdana"/>
      <family val="2"/>
    </font>
  </fonts>
  <fills count="10">
    <fill>
      <patternFill patternType="none"/>
    </fill>
    <fill>
      <patternFill patternType="gray125"/>
    </fill>
    <fill>
      <patternFill patternType="solid">
        <fgColor rgb="FF0070C0"/>
        <bgColor indexed="64"/>
      </patternFill>
    </fill>
    <fill>
      <patternFill patternType="solid">
        <fgColor rgb="FFFFFFCC"/>
        <bgColor indexed="64"/>
      </patternFill>
    </fill>
    <fill>
      <patternFill patternType="solid">
        <fgColor theme="0" tint="-0.14999847407452621"/>
        <bgColor indexed="64"/>
      </patternFill>
    </fill>
    <fill>
      <patternFill patternType="solid">
        <fgColor rgb="FFE1FBFF"/>
        <bgColor indexed="64"/>
      </patternFill>
    </fill>
    <fill>
      <patternFill patternType="solid">
        <fgColor rgb="FF00B050"/>
        <bgColor indexed="64"/>
      </patternFill>
    </fill>
    <fill>
      <patternFill patternType="solid">
        <fgColor theme="0" tint="-0.249977111117893"/>
        <bgColor indexed="64"/>
      </patternFill>
    </fill>
    <fill>
      <patternFill patternType="solid">
        <fgColor rgb="FFBFFFA7"/>
        <bgColor indexed="64"/>
      </patternFill>
    </fill>
    <fill>
      <patternFill patternType="solid">
        <fgColor rgb="FF0056B4"/>
        <bgColor indexed="64"/>
      </patternFill>
    </fill>
  </fills>
  <borders count="42">
    <border>
      <left/>
      <right/>
      <top/>
      <bottom/>
      <diagonal/>
    </border>
    <border>
      <left/>
      <right/>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ck">
        <color auto="1"/>
      </left>
      <right/>
      <top style="thin">
        <color auto="1"/>
      </top>
      <bottom style="thin">
        <color auto="1"/>
      </bottom>
      <diagonal/>
    </border>
    <border>
      <left style="thin">
        <color auto="1"/>
      </left>
      <right style="thin">
        <color auto="1"/>
      </right>
      <top/>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auto="1"/>
      </left>
      <right style="thin">
        <color auto="1"/>
      </right>
      <top style="thin">
        <color auto="1"/>
      </top>
      <bottom/>
      <diagonal/>
    </border>
    <border>
      <left/>
      <right style="thin">
        <color indexed="64"/>
      </right>
      <top/>
      <bottom style="double">
        <color indexed="64"/>
      </bottom>
      <diagonal/>
    </border>
    <border>
      <left/>
      <right/>
      <top style="thin">
        <color indexed="64"/>
      </top>
      <bottom/>
      <diagonal/>
    </border>
    <border>
      <left style="thick">
        <color indexed="64"/>
      </left>
      <right style="thin">
        <color auto="1"/>
      </right>
      <top style="thick">
        <color indexed="64"/>
      </top>
      <bottom style="thin">
        <color auto="1"/>
      </bottom>
      <diagonal/>
    </border>
    <border>
      <left style="thin">
        <color auto="1"/>
      </left>
      <right style="thick">
        <color indexed="64"/>
      </right>
      <top style="thick">
        <color indexed="64"/>
      </top>
      <bottom style="thin">
        <color auto="1"/>
      </bottom>
      <diagonal/>
    </border>
    <border>
      <left style="thick">
        <color indexed="64"/>
      </left>
      <right style="thin">
        <color auto="1"/>
      </right>
      <top style="thin">
        <color auto="1"/>
      </top>
      <bottom style="thin">
        <color auto="1"/>
      </bottom>
      <diagonal/>
    </border>
    <border>
      <left style="thin">
        <color auto="1"/>
      </left>
      <right style="thick">
        <color indexed="64"/>
      </right>
      <top style="thin">
        <color auto="1"/>
      </top>
      <bottom style="thin">
        <color auto="1"/>
      </bottom>
      <diagonal/>
    </border>
    <border>
      <left style="thick">
        <color indexed="64"/>
      </left>
      <right style="thin">
        <color auto="1"/>
      </right>
      <top style="thin">
        <color auto="1"/>
      </top>
      <bottom style="double">
        <color indexed="64"/>
      </bottom>
      <diagonal/>
    </border>
    <border>
      <left style="thin">
        <color auto="1"/>
      </left>
      <right style="thick">
        <color indexed="64"/>
      </right>
      <top style="thin">
        <color auto="1"/>
      </top>
      <bottom style="double">
        <color indexed="64"/>
      </bottom>
      <diagonal/>
    </border>
    <border>
      <left style="thick">
        <color indexed="64"/>
      </left>
      <right style="thin">
        <color auto="1"/>
      </right>
      <top/>
      <bottom style="thick">
        <color indexed="64"/>
      </bottom>
      <diagonal/>
    </border>
    <border>
      <left style="thin">
        <color auto="1"/>
      </left>
      <right style="thick">
        <color indexed="64"/>
      </right>
      <top/>
      <bottom style="thick">
        <color indexed="64"/>
      </bottom>
      <diagonal/>
    </border>
    <border>
      <left style="thick">
        <color indexed="64"/>
      </left>
      <right style="thin">
        <color auto="1"/>
      </right>
      <top style="double">
        <color indexed="64"/>
      </top>
      <bottom style="thin">
        <color indexed="64"/>
      </bottom>
      <diagonal/>
    </border>
    <border>
      <left style="thin">
        <color auto="1"/>
      </left>
      <right style="thick">
        <color indexed="64"/>
      </right>
      <top style="double">
        <color indexed="64"/>
      </top>
      <bottom style="thin">
        <color indexed="64"/>
      </bottom>
      <diagonal/>
    </border>
    <border>
      <left style="thick">
        <color indexed="64"/>
      </left>
      <right style="thick">
        <color indexed="64"/>
      </right>
      <top style="thick">
        <color indexed="64"/>
      </top>
      <bottom/>
      <diagonal/>
    </border>
    <border>
      <left style="thick">
        <color indexed="64"/>
      </left>
      <right style="thick">
        <color indexed="64"/>
      </right>
      <top style="thin">
        <color auto="1"/>
      </top>
      <bottom style="double">
        <color indexed="64"/>
      </bottom>
      <diagonal/>
    </border>
    <border>
      <left style="thick">
        <color indexed="64"/>
      </left>
      <right style="thick">
        <color indexed="64"/>
      </right>
      <top style="double">
        <color indexed="64"/>
      </top>
      <bottom style="thin">
        <color indexed="64"/>
      </bottom>
      <diagonal/>
    </border>
    <border>
      <left style="thick">
        <color indexed="64"/>
      </left>
      <right style="thick">
        <color indexed="64"/>
      </right>
      <top/>
      <bottom style="thick">
        <color indexed="64"/>
      </bottom>
      <diagonal/>
    </border>
    <border>
      <left style="thick">
        <color indexed="64"/>
      </left>
      <right style="thick">
        <color indexed="64"/>
      </right>
      <top/>
      <bottom style="thin">
        <color indexed="64"/>
      </bottom>
      <diagonal/>
    </border>
    <border>
      <left style="thick">
        <color indexed="64"/>
      </left>
      <right style="thick">
        <color indexed="64"/>
      </right>
      <top/>
      <bottom/>
      <diagonal/>
    </border>
    <border>
      <left style="thick">
        <color indexed="64"/>
      </left>
      <right style="thin">
        <color auto="1"/>
      </right>
      <top style="thin">
        <color auto="1"/>
      </top>
      <bottom/>
      <diagonal/>
    </border>
    <border>
      <left style="thin">
        <color auto="1"/>
      </left>
      <right style="thick">
        <color indexed="64"/>
      </right>
      <top style="thin">
        <color auto="1"/>
      </top>
      <bottom/>
      <diagonal/>
    </border>
    <border>
      <left style="thin">
        <color auto="1"/>
      </left>
      <right/>
      <top style="thick">
        <color indexed="64"/>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style="thin">
        <color auto="1"/>
      </top>
      <bottom style="double">
        <color indexed="64"/>
      </bottom>
      <diagonal/>
    </border>
    <border>
      <left style="thin">
        <color auto="1"/>
      </left>
      <right/>
      <top style="double">
        <color indexed="64"/>
      </top>
      <bottom style="thin">
        <color indexed="64"/>
      </bottom>
      <diagonal/>
    </border>
    <border>
      <left/>
      <right style="thick">
        <color indexed="64"/>
      </right>
      <top style="thin">
        <color auto="1"/>
      </top>
      <bottom/>
      <diagonal/>
    </border>
    <border>
      <left style="thin">
        <color auto="1"/>
      </left>
      <right style="thin">
        <color auto="1"/>
      </right>
      <top style="thick">
        <color indexed="64"/>
      </top>
      <bottom style="thin">
        <color auto="1"/>
      </bottom>
      <diagonal/>
    </border>
    <border>
      <left style="thin">
        <color auto="1"/>
      </left>
      <right style="thin">
        <color auto="1"/>
      </right>
      <top/>
      <bottom style="thick">
        <color indexed="64"/>
      </bottom>
      <diagonal/>
    </border>
    <border>
      <left style="thick">
        <color indexed="64"/>
      </left>
      <right style="thick">
        <color indexed="64"/>
      </right>
      <top style="thin">
        <color indexed="64"/>
      </top>
      <bottom style="thin">
        <color indexed="64"/>
      </bottom>
      <diagonal/>
    </border>
    <border>
      <left/>
      <right style="thin">
        <color auto="1"/>
      </right>
      <top style="thin">
        <color auto="1"/>
      </top>
      <bottom/>
      <diagonal/>
    </border>
  </borders>
  <cellStyleXfs count="130">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44" fontId="6" fillId="0" borderId="0" applyFont="0" applyFill="0" applyBorder="0" applyAlignment="0" applyProtection="0"/>
    <xf numFmtId="0" fontId="21" fillId="0" borderId="0" applyNumberFormat="0" applyFill="0" applyBorder="0" applyAlignment="0" applyProtection="0"/>
  </cellStyleXfs>
  <cellXfs count="258">
    <xf numFmtId="0" fontId="0" fillId="0" borderId="0" xfId="0"/>
    <xf numFmtId="0" fontId="1" fillId="0" borderId="0" xfId="0" applyFont="1"/>
    <xf numFmtId="0" fontId="0" fillId="0" borderId="4" xfId="0" applyBorder="1"/>
    <xf numFmtId="165" fontId="0" fillId="0" borderId="4" xfId="128" applyNumberFormat="1" applyFont="1" applyBorder="1"/>
    <xf numFmtId="0" fontId="5" fillId="0" borderId="4" xfId="0" applyFont="1" applyBorder="1"/>
    <xf numFmtId="0" fontId="7" fillId="2" borderId="4" xfId="0" applyFont="1" applyFill="1" applyBorder="1" applyAlignment="1">
      <alignment horizontal="center"/>
    </xf>
    <xf numFmtId="0" fontId="1" fillId="0" borderId="0" xfId="0" applyFont="1" applyAlignment="1">
      <alignment horizontal="right"/>
    </xf>
    <xf numFmtId="0" fontId="7" fillId="2" borderId="4" xfId="0" applyFont="1" applyFill="1" applyBorder="1"/>
    <xf numFmtId="0" fontId="1" fillId="0" borderId="6" xfId="0" applyFont="1" applyBorder="1" applyAlignment="1">
      <alignment horizontal="right"/>
    </xf>
    <xf numFmtId="0" fontId="7" fillId="2" borderId="2" xfId="0" applyFont="1" applyFill="1" applyBorder="1" applyAlignment="1">
      <alignment horizontal="center"/>
    </xf>
    <xf numFmtId="165" fontId="1" fillId="0" borderId="3" xfId="0" applyNumberFormat="1" applyFont="1" applyBorder="1"/>
    <xf numFmtId="165" fontId="1" fillId="0" borderId="6" xfId="0" applyNumberFormat="1" applyFont="1" applyBorder="1"/>
    <xf numFmtId="0" fontId="5" fillId="0" borderId="10" xfId="0" applyFont="1" applyBorder="1"/>
    <xf numFmtId="8" fontId="1" fillId="0" borderId="9" xfId="0" applyNumberFormat="1" applyFont="1" applyBorder="1"/>
    <xf numFmtId="8" fontId="1" fillId="0" borderId="2" xfId="0" applyNumberFormat="1" applyFont="1" applyBorder="1"/>
    <xf numFmtId="8" fontId="1" fillId="0" borderId="6" xfId="0" applyNumberFormat="1" applyFont="1" applyBorder="1" applyAlignment="1">
      <alignment horizontal="right"/>
    </xf>
    <xf numFmtId="8" fontId="1" fillId="0" borderId="3" xfId="0" applyNumberFormat="1" applyFont="1" applyBorder="1"/>
    <xf numFmtId="165" fontId="0" fillId="0" borderId="0" xfId="0" applyNumberFormat="1"/>
    <xf numFmtId="165" fontId="5" fillId="0" borderId="4" xfId="128" applyNumberFormat="1" applyFont="1" applyBorder="1"/>
    <xf numFmtId="0" fontId="5" fillId="0" borderId="5" xfId="0" applyFont="1" applyBorder="1"/>
    <xf numFmtId="165" fontId="0" fillId="0" borderId="0" xfId="128" applyNumberFormat="1" applyFont="1"/>
    <xf numFmtId="9" fontId="0" fillId="0" borderId="0" xfId="121" applyFont="1"/>
    <xf numFmtId="0" fontId="7" fillId="2" borderId="4" xfId="0" applyFont="1" applyFill="1" applyBorder="1" applyAlignment="1">
      <alignment wrapText="1"/>
    </xf>
    <xf numFmtId="0" fontId="7" fillId="2" borderId="4" xfId="0" applyFont="1" applyFill="1" applyBorder="1" applyAlignment="1">
      <alignment horizontal="center" wrapText="1"/>
    </xf>
    <xf numFmtId="9" fontId="0" fillId="0" borderId="4" xfId="121" applyFont="1" applyBorder="1"/>
    <xf numFmtId="0" fontId="0" fillId="5" borderId="4" xfId="0" applyFill="1" applyBorder="1" applyAlignment="1">
      <alignment horizontal="right"/>
    </xf>
    <xf numFmtId="9" fontId="0" fillId="5" borderId="4" xfId="121" applyFont="1" applyFill="1" applyBorder="1"/>
    <xf numFmtId="0" fontId="0" fillId="5" borderId="4" xfId="0" applyFill="1" applyBorder="1"/>
    <xf numFmtId="165" fontId="10" fillId="0" borderId="2" xfId="128" applyNumberFormat="1" applyFont="1" applyBorder="1"/>
    <xf numFmtId="8" fontId="2" fillId="0" borderId="4" xfId="128" applyNumberFormat="1" applyFont="1" applyFill="1" applyBorder="1" applyAlignment="1">
      <alignment horizontal="right"/>
    </xf>
    <xf numFmtId="165" fontId="2" fillId="0" borderId="4" xfId="128" applyNumberFormat="1" applyFont="1" applyFill="1" applyBorder="1" applyAlignment="1">
      <alignment horizontal="right"/>
    </xf>
    <xf numFmtId="9" fontId="2" fillId="0" borderId="4" xfId="121" applyFont="1" applyFill="1" applyBorder="1" applyAlignment="1">
      <alignment horizontal="right"/>
    </xf>
    <xf numFmtId="0" fontId="5" fillId="0" borderId="7" xfId="0" applyFont="1" applyBorder="1"/>
    <xf numFmtId="165" fontId="0" fillId="0" borderId="4" xfId="128" applyNumberFormat="1" applyFont="1" applyFill="1" applyBorder="1"/>
    <xf numFmtId="9" fontId="2" fillId="0" borderId="5" xfId="121" applyFont="1" applyFill="1" applyBorder="1"/>
    <xf numFmtId="0" fontId="7" fillId="2" borderId="0" xfId="0" applyFont="1" applyFill="1"/>
    <xf numFmtId="9" fontId="0" fillId="0" borderId="4" xfId="121" applyFont="1" applyFill="1" applyBorder="1"/>
    <xf numFmtId="164" fontId="13" fillId="0" borderId="0" xfId="121" applyNumberFormat="1" applyFont="1" applyAlignment="1">
      <alignment horizontal="center"/>
    </xf>
    <xf numFmtId="0" fontId="1" fillId="0" borderId="0" xfId="0" applyFont="1" applyAlignment="1">
      <alignment horizontal="left"/>
    </xf>
    <xf numFmtId="165" fontId="2" fillId="0" borderId="4" xfId="128" applyNumberFormat="1" applyFont="1" applyFill="1" applyBorder="1"/>
    <xf numFmtId="0" fontId="0" fillId="0" borderId="11" xfId="0" applyBorder="1"/>
    <xf numFmtId="164" fontId="12" fillId="0" borderId="0" xfId="121" applyNumberFormat="1" applyFont="1" applyFill="1" applyBorder="1"/>
    <xf numFmtId="0" fontId="1" fillId="5" borderId="4" xfId="0" applyFont="1" applyFill="1" applyBorder="1" applyAlignment="1">
      <alignment horizontal="right"/>
    </xf>
    <xf numFmtId="165" fontId="10" fillId="0" borderId="4" xfId="128" applyNumberFormat="1" applyFont="1" applyBorder="1"/>
    <xf numFmtId="165" fontId="10" fillId="0" borderId="2" xfId="128" applyNumberFormat="1" applyFont="1" applyFill="1" applyBorder="1"/>
    <xf numFmtId="8" fontId="10" fillId="0" borderId="12" xfId="128" applyNumberFormat="1" applyFont="1" applyFill="1" applyBorder="1"/>
    <xf numFmtId="1" fontId="0" fillId="0" borderId="4" xfId="128" applyNumberFormat="1" applyFont="1" applyBorder="1"/>
    <xf numFmtId="165" fontId="1" fillId="0" borderId="0" xfId="0" applyNumberFormat="1" applyFont="1"/>
    <xf numFmtId="0" fontId="7" fillId="6" borderId="4" xfId="0" applyFont="1" applyFill="1" applyBorder="1" applyAlignment="1">
      <alignment horizontal="center"/>
    </xf>
    <xf numFmtId="0" fontId="7" fillId="6" borderId="4" xfId="0" applyFont="1" applyFill="1" applyBorder="1" applyAlignment="1">
      <alignment horizontal="left"/>
    </xf>
    <xf numFmtId="0" fontId="1" fillId="0" borderId="4" xfId="0" applyFont="1" applyBorder="1" applyAlignment="1">
      <alignment horizontal="left"/>
    </xf>
    <xf numFmtId="0" fontId="0" fillId="0" borderId="0" xfId="0" applyAlignment="1">
      <alignment wrapText="1"/>
    </xf>
    <xf numFmtId="0" fontId="0" fillId="0" borderId="0" xfId="0" applyAlignment="1">
      <alignment horizontal="right"/>
    </xf>
    <xf numFmtId="0" fontId="0" fillId="0" borderId="0" xfId="0" applyAlignment="1">
      <alignment horizontal="center"/>
    </xf>
    <xf numFmtId="9" fontId="0" fillId="0" borderId="4" xfId="0" applyNumberFormat="1" applyBorder="1"/>
    <xf numFmtId="0" fontId="0" fillId="3" borderId="4" xfId="0" applyFill="1" applyBorder="1"/>
    <xf numFmtId="0" fontId="0" fillId="0" borderId="0" xfId="0" applyAlignment="1">
      <alignment horizontal="center" vertical="center"/>
    </xf>
    <xf numFmtId="0" fontId="15" fillId="0" borderId="0" xfId="0" applyFont="1"/>
    <xf numFmtId="9" fontId="0" fillId="3" borderId="4" xfId="121" applyFont="1" applyFill="1" applyBorder="1"/>
    <xf numFmtId="0" fontId="7" fillId="2" borderId="0" xfId="0" applyFont="1" applyFill="1" applyAlignment="1">
      <alignment horizontal="left"/>
    </xf>
    <xf numFmtId="0" fontId="14" fillId="0" borderId="0" xfId="0" applyFont="1" applyAlignment="1">
      <alignment horizontal="left"/>
    </xf>
    <xf numFmtId="0" fontId="7" fillId="0" borderId="0" xfId="0" applyFont="1" applyAlignment="1">
      <alignment horizontal="left" vertical="center"/>
    </xf>
    <xf numFmtId="0" fontId="0" fillId="0" borderId="0" xfId="0" applyAlignment="1">
      <alignment horizontal="left"/>
    </xf>
    <xf numFmtId="0" fontId="7" fillId="0" borderId="0" xfId="0" applyFont="1"/>
    <xf numFmtId="0" fontId="7" fillId="2" borderId="0" xfId="0" applyFont="1" applyFill="1" applyAlignment="1">
      <alignment horizontal="center"/>
    </xf>
    <xf numFmtId="0" fontId="5" fillId="0" borderId="0" xfId="0" applyFont="1"/>
    <xf numFmtId="0" fontId="7" fillId="0" borderId="0" xfId="0" applyFont="1" applyAlignment="1">
      <alignment horizontal="center"/>
    </xf>
    <xf numFmtId="0" fontId="2" fillId="0" borderId="0" xfId="0" applyFont="1" applyAlignment="1">
      <alignment horizontal="center"/>
    </xf>
    <xf numFmtId="9" fontId="2" fillId="0" borderId="0" xfId="121" applyFont="1" applyFill="1" applyBorder="1" applyAlignment="1">
      <alignment horizontal="center"/>
    </xf>
    <xf numFmtId="164" fontId="2" fillId="0" borderId="0" xfId="121" applyNumberFormat="1" applyFont="1" applyFill="1" applyBorder="1" applyAlignment="1">
      <alignment horizontal="center"/>
    </xf>
    <xf numFmtId="165" fontId="2" fillId="0" borderId="0" xfId="128" applyNumberFormat="1" applyFont="1" applyFill="1" applyBorder="1" applyAlignment="1">
      <alignment horizontal="center"/>
    </xf>
    <xf numFmtId="1" fontId="2" fillId="0" borderId="0" xfId="121" applyNumberFormat="1" applyFont="1" applyFill="1" applyBorder="1" applyAlignment="1">
      <alignment horizontal="center"/>
    </xf>
    <xf numFmtId="0" fontId="2" fillId="0" borderId="0" xfId="0" applyFont="1"/>
    <xf numFmtId="0" fontId="7" fillId="6" borderId="0" xfId="0" applyFont="1" applyFill="1" applyAlignment="1">
      <alignment horizontal="left"/>
    </xf>
    <xf numFmtId="165" fontId="0" fillId="0" borderId="0" xfId="128" applyNumberFormat="1" applyFont="1" applyFill="1" applyBorder="1" applyAlignment="1">
      <alignment horizontal="center"/>
    </xf>
    <xf numFmtId="0" fontId="16" fillId="0" borderId="0" xfId="0" applyFont="1"/>
    <xf numFmtId="9" fontId="16" fillId="0" borderId="0" xfId="121" applyFont="1"/>
    <xf numFmtId="164" fontId="0" fillId="0" borderId="0" xfId="121" applyNumberFormat="1" applyFont="1" applyFill="1" applyBorder="1"/>
    <xf numFmtId="0" fontId="0" fillId="0" borderId="4" xfId="0" applyBorder="1" applyAlignment="1">
      <alignment wrapText="1"/>
    </xf>
    <xf numFmtId="164" fontId="0" fillId="7" borderId="4" xfId="121" applyNumberFormat="1" applyFont="1" applyFill="1" applyBorder="1" applyAlignment="1">
      <alignment horizontal="center"/>
    </xf>
    <xf numFmtId="9" fontId="0" fillId="0" borderId="0" xfId="121" applyFont="1" applyFill="1" applyBorder="1"/>
    <xf numFmtId="1" fontId="12" fillId="0" borderId="0" xfId="121" applyNumberFormat="1" applyFont="1" applyFill="1" applyBorder="1"/>
    <xf numFmtId="8" fontId="2" fillId="0" borderId="5" xfId="128" applyNumberFormat="1" applyFont="1" applyFill="1" applyBorder="1" applyAlignment="1">
      <alignment horizontal="right"/>
    </xf>
    <xf numFmtId="0" fontId="13" fillId="0" borderId="4" xfId="0" applyFont="1" applyBorder="1"/>
    <xf numFmtId="164" fontId="13" fillId="0" borderId="4" xfId="121" applyNumberFormat="1" applyFont="1" applyFill="1" applyBorder="1"/>
    <xf numFmtId="8" fontId="2" fillId="0" borderId="10" xfId="128" applyNumberFormat="1" applyFont="1" applyFill="1" applyBorder="1" applyAlignment="1">
      <alignment horizontal="right"/>
    </xf>
    <xf numFmtId="165" fontId="13" fillId="0" borderId="4" xfId="128" applyNumberFormat="1" applyFont="1" applyFill="1" applyBorder="1"/>
    <xf numFmtId="9" fontId="13" fillId="0" borderId="4" xfId="121" applyFont="1" applyFill="1" applyBorder="1"/>
    <xf numFmtId="1" fontId="13" fillId="0" borderId="4" xfId="121" applyNumberFormat="1" applyFont="1" applyFill="1" applyBorder="1"/>
    <xf numFmtId="0" fontId="10" fillId="0" borderId="0" xfId="0" applyFont="1" applyAlignment="1">
      <alignment horizontal="right"/>
    </xf>
    <xf numFmtId="0" fontId="1" fillId="0" borderId="13" xfId="0" applyFont="1" applyBorder="1" applyAlignment="1">
      <alignment horizontal="right"/>
    </xf>
    <xf numFmtId="9" fontId="1" fillId="0" borderId="1" xfId="121" applyFont="1" applyFill="1" applyBorder="1"/>
    <xf numFmtId="9" fontId="1" fillId="0" borderId="13" xfId="121" applyFont="1" applyFill="1" applyBorder="1"/>
    <xf numFmtId="9" fontId="10" fillId="0" borderId="1" xfId="121" applyFont="1" applyFill="1" applyBorder="1"/>
    <xf numFmtId="0" fontId="17" fillId="2" borderId="0" xfId="0" applyFont="1" applyFill="1"/>
    <xf numFmtId="0" fontId="0" fillId="0" borderId="0" xfId="0" applyAlignment="1">
      <alignment horizontal="center" vertical="top"/>
    </xf>
    <xf numFmtId="0" fontId="0" fillId="0" borderId="0" xfId="0" applyAlignment="1">
      <alignment horizontal="left" vertical="top"/>
    </xf>
    <xf numFmtId="0" fontId="13" fillId="0" borderId="0" xfId="0" applyFont="1" applyAlignment="1">
      <alignment vertical="top" wrapText="1"/>
    </xf>
    <xf numFmtId="0" fontId="0" fillId="0" borderId="0" xfId="0" applyAlignment="1">
      <alignment horizontal="right" vertical="top"/>
    </xf>
    <xf numFmtId="0" fontId="0" fillId="0" borderId="0" xfId="0" applyAlignment="1">
      <alignment vertical="top"/>
    </xf>
    <xf numFmtId="0" fontId="0" fillId="0" borderId="0" xfId="0" applyAlignment="1">
      <alignment vertical="top" wrapText="1"/>
    </xf>
    <xf numFmtId="0" fontId="18" fillId="0" borderId="0" xfId="0" applyFont="1" applyAlignment="1">
      <alignment horizontal="left"/>
    </xf>
    <xf numFmtId="0" fontId="19" fillId="0" borderId="0" xfId="0" applyFont="1" applyAlignment="1">
      <alignment horizontal="left"/>
    </xf>
    <xf numFmtId="0" fontId="10" fillId="0" borderId="0" xfId="0" applyFont="1"/>
    <xf numFmtId="165" fontId="0" fillId="3" borderId="4" xfId="128" applyNumberFormat="1" applyFont="1" applyFill="1" applyBorder="1"/>
    <xf numFmtId="0" fontId="7" fillId="6" borderId="0" xfId="0" applyFont="1" applyFill="1"/>
    <xf numFmtId="165" fontId="7" fillId="6" borderId="4" xfId="0" applyNumberFormat="1" applyFont="1" applyFill="1" applyBorder="1"/>
    <xf numFmtId="0" fontId="0" fillId="3" borderId="4" xfId="128" applyNumberFormat="1" applyFont="1" applyFill="1" applyBorder="1"/>
    <xf numFmtId="165" fontId="1" fillId="0" borderId="0" xfId="0" applyNumberFormat="1" applyFont="1" applyAlignment="1">
      <alignment horizontal="left"/>
    </xf>
    <xf numFmtId="9" fontId="7" fillId="6" borderId="0" xfId="121" applyFont="1" applyFill="1"/>
    <xf numFmtId="165" fontId="0" fillId="8" borderId="4" xfId="128" applyNumberFormat="1" applyFont="1" applyFill="1" applyBorder="1"/>
    <xf numFmtId="165" fontId="0" fillId="8" borderId="4" xfId="0" applyNumberFormat="1" applyFill="1" applyBorder="1"/>
    <xf numFmtId="166" fontId="13" fillId="3" borderId="4" xfId="122" applyNumberFormat="1" applyFont="1" applyFill="1" applyBorder="1"/>
    <xf numFmtId="0" fontId="1" fillId="8" borderId="6" xfId="0" applyFont="1" applyFill="1" applyBorder="1" applyAlignment="1">
      <alignment horizontal="right"/>
    </xf>
    <xf numFmtId="9" fontId="1" fillId="8" borderId="6" xfId="121" applyFont="1" applyFill="1" applyBorder="1"/>
    <xf numFmtId="0" fontId="10" fillId="8" borderId="6" xfId="0" applyFont="1" applyFill="1" applyBorder="1" applyAlignment="1">
      <alignment horizontal="right"/>
    </xf>
    <xf numFmtId="9" fontId="10" fillId="8" borderId="6" xfId="121" applyFont="1" applyFill="1" applyBorder="1"/>
    <xf numFmtId="8" fontId="1" fillId="8" borderId="6" xfId="128" applyNumberFormat="1" applyFont="1" applyFill="1" applyBorder="1"/>
    <xf numFmtId="165" fontId="10" fillId="8" borderId="6" xfId="128" applyNumberFormat="1" applyFont="1" applyFill="1" applyBorder="1"/>
    <xf numFmtId="165" fontId="0" fillId="0" borderId="4" xfId="0" applyNumberFormat="1" applyBorder="1"/>
    <xf numFmtId="165" fontId="0" fillId="0" borderId="5" xfId="0" applyNumberFormat="1" applyBorder="1"/>
    <xf numFmtId="8" fontId="0" fillId="0" borderId="4" xfId="0" applyNumberFormat="1" applyBorder="1"/>
    <xf numFmtId="8" fontId="0" fillId="0" borderId="6" xfId="128" applyNumberFormat="1" applyFont="1" applyFill="1" applyBorder="1" applyAlignment="1">
      <alignment horizontal="right"/>
    </xf>
    <xf numFmtId="8" fontId="0" fillId="0" borderId="8" xfId="128" applyNumberFormat="1" applyFont="1" applyFill="1" applyBorder="1" applyAlignment="1">
      <alignment horizontal="right"/>
    </xf>
    <xf numFmtId="8" fontId="0" fillId="0" borderId="5" xfId="128" applyNumberFormat="1" applyFont="1" applyFill="1" applyBorder="1"/>
    <xf numFmtId="165" fontId="0" fillId="0" borderId="5" xfId="128" applyNumberFormat="1" applyFont="1" applyFill="1" applyBorder="1"/>
    <xf numFmtId="0" fontId="13" fillId="0" borderId="0" xfId="0" applyFont="1" applyAlignment="1">
      <alignment horizontal="left" vertical="top" wrapText="1"/>
    </xf>
    <xf numFmtId="0" fontId="1" fillId="0" borderId="0" xfId="0" applyFont="1" applyAlignment="1">
      <alignment horizontal="left" vertical="center"/>
    </xf>
    <xf numFmtId="0" fontId="0" fillId="0" borderId="0" xfId="0" applyAlignment="1">
      <alignment horizontal="left" vertical="center"/>
    </xf>
    <xf numFmtId="166" fontId="0" fillId="3" borderId="4" xfId="122" applyNumberFormat="1" applyFont="1" applyFill="1" applyBorder="1"/>
    <xf numFmtId="0" fontId="7" fillId="6" borderId="0" xfId="0" applyFont="1" applyFill="1" applyAlignment="1">
      <alignment horizontal="right"/>
    </xf>
    <xf numFmtId="0" fontId="7" fillId="9" borderId="0" xfId="0" applyFont="1" applyFill="1" applyAlignment="1">
      <alignment horizontal="left"/>
    </xf>
    <xf numFmtId="0" fontId="7" fillId="9" borderId="0" xfId="0" applyFont="1" applyFill="1"/>
    <xf numFmtId="0" fontId="17" fillId="9" borderId="0" xfId="0" applyFont="1" applyFill="1"/>
    <xf numFmtId="0" fontId="15" fillId="9" borderId="0" xfId="0" applyFont="1" applyFill="1"/>
    <xf numFmtId="0" fontId="7" fillId="9" borderId="0" xfId="0" applyFont="1" applyFill="1" applyAlignment="1">
      <alignment horizontal="center"/>
    </xf>
    <xf numFmtId="0" fontId="7" fillId="9" borderId="4" xfId="0" applyFont="1" applyFill="1" applyBorder="1" applyAlignment="1">
      <alignment horizontal="center" wrapText="1"/>
    </xf>
    <xf numFmtId="0" fontId="7" fillId="9" borderId="4" xfId="0" applyFont="1" applyFill="1" applyBorder="1" applyAlignment="1">
      <alignment horizontal="center"/>
    </xf>
    <xf numFmtId="0" fontId="7" fillId="9" borderId="0" xfId="0" applyFont="1" applyFill="1" applyAlignment="1">
      <alignment horizontal="left" vertical="center"/>
    </xf>
    <xf numFmtId="0" fontId="0" fillId="9" borderId="0" xfId="0" applyFill="1"/>
    <xf numFmtId="0" fontId="7" fillId="9" borderId="0" xfId="0" applyFont="1" applyFill="1" applyAlignment="1">
      <alignment horizontal="left" vertical="top"/>
    </xf>
    <xf numFmtId="165" fontId="13" fillId="3" borderId="4" xfId="128" applyNumberFormat="1" applyFont="1" applyFill="1" applyBorder="1"/>
    <xf numFmtId="0" fontId="20" fillId="0" borderId="13" xfId="0" applyFont="1" applyBorder="1" applyAlignment="1">
      <alignment horizontal="left"/>
    </xf>
    <xf numFmtId="0" fontId="0" fillId="0" borderId="0" xfId="0" applyAlignment="1">
      <alignment horizontal="left" vertical="center" wrapText="1"/>
    </xf>
    <xf numFmtId="0" fontId="22" fillId="0" borderId="0" xfId="0" applyFont="1"/>
    <xf numFmtId="0" fontId="1" fillId="0" borderId="0" xfId="0" applyFont="1" applyAlignment="1">
      <alignment horizontal="center"/>
    </xf>
    <xf numFmtId="165" fontId="0" fillId="0" borderId="16" xfId="128" applyNumberFormat="1" applyFont="1" applyFill="1" applyBorder="1"/>
    <xf numFmtId="165" fontId="0" fillId="0" borderId="17" xfId="128" applyNumberFormat="1" applyFont="1" applyFill="1" applyBorder="1"/>
    <xf numFmtId="165" fontId="0" fillId="0" borderId="18" xfId="128" applyNumberFormat="1" applyFont="1" applyFill="1" applyBorder="1"/>
    <xf numFmtId="165" fontId="0" fillId="0" borderId="19" xfId="128" applyNumberFormat="1" applyFont="1" applyFill="1" applyBorder="1"/>
    <xf numFmtId="165" fontId="0" fillId="0" borderId="22" xfId="128" applyNumberFormat="1" applyFont="1" applyFill="1" applyBorder="1"/>
    <xf numFmtId="165" fontId="0" fillId="0" borderId="23" xfId="128" applyNumberFormat="1" applyFont="1" applyFill="1" applyBorder="1"/>
    <xf numFmtId="0" fontId="5" fillId="0" borderId="28" xfId="0" applyFont="1" applyBorder="1"/>
    <xf numFmtId="0" fontId="5" fillId="0" borderId="25" xfId="0" applyFont="1" applyBorder="1"/>
    <xf numFmtId="0" fontId="5" fillId="0" borderId="26" xfId="0" applyFont="1" applyBorder="1"/>
    <xf numFmtId="0" fontId="5" fillId="0" borderId="28" xfId="0" applyFont="1" applyBorder="1" applyAlignment="1">
      <alignment horizontal="left"/>
    </xf>
    <xf numFmtId="0" fontId="5" fillId="0" borderId="16" xfId="0" applyFont="1" applyBorder="1" applyAlignment="1">
      <alignment horizontal="center"/>
    </xf>
    <xf numFmtId="0" fontId="5" fillId="0" borderId="17" xfId="0" applyFont="1" applyBorder="1" applyAlignment="1">
      <alignment horizontal="center"/>
    </xf>
    <xf numFmtId="0" fontId="7" fillId="6" borderId="24" xfId="0" applyFont="1" applyFill="1" applyBorder="1" applyAlignment="1">
      <alignment horizontal="left"/>
    </xf>
    <xf numFmtId="0" fontId="5" fillId="0" borderId="6" xfId="0" applyFont="1" applyBorder="1" applyAlignment="1">
      <alignment horizontal="right"/>
    </xf>
    <xf numFmtId="0" fontId="5" fillId="0" borderId="5" xfId="0" applyFont="1" applyBorder="1" applyAlignment="1">
      <alignment horizontal="right"/>
    </xf>
    <xf numFmtId="0" fontId="5" fillId="0" borderId="4" xfId="0" applyFont="1" applyBorder="1" applyAlignment="1">
      <alignment horizontal="right"/>
    </xf>
    <xf numFmtId="165" fontId="0" fillId="0" borderId="0" xfId="128" applyNumberFormat="1" applyFont="1" applyFill="1" applyBorder="1"/>
    <xf numFmtId="0" fontId="1" fillId="0" borderId="0" xfId="0" applyFont="1" applyAlignment="1">
      <alignment horizontal="right" vertical="top"/>
    </xf>
    <xf numFmtId="165" fontId="0" fillId="0" borderId="0" xfId="128" applyNumberFormat="1" applyFont="1" applyFill="1" applyBorder="1" applyProtection="1"/>
    <xf numFmtId="165" fontId="1" fillId="8" borderId="4" xfId="128" applyNumberFormat="1" applyFont="1" applyFill="1" applyBorder="1" applyProtection="1"/>
    <xf numFmtId="0" fontId="1" fillId="0" borderId="0" xfId="0" applyFont="1" applyAlignment="1">
      <alignment horizontal="right" vertical="center"/>
    </xf>
    <xf numFmtId="0" fontId="1" fillId="0" borderId="0" xfId="0" applyFont="1" applyAlignment="1">
      <alignment vertical="center"/>
    </xf>
    <xf numFmtId="165" fontId="1" fillId="0" borderId="0" xfId="128" applyNumberFormat="1" applyFont="1" applyFill="1" applyBorder="1" applyAlignment="1" applyProtection="1">
      <alignment horizontal="center" vertical="center"/>
    </xf>
    <xf numFmtId="1" fontId="0" fillId="3" borderId="4" xfId="128" applyNumberFormat="1" applyFont="1" applyFill="1" applyBorder="1" applyProtection="1"/>
    <xf numFmtId="0" fontId="16" fillId="0" borderId="0" xfId="0" applyFont="1" applyAlignment="1">
      <alignment horizontal="left" vertical="top"/>
    </xf>
    <xf numFmtId="1" fontId="1" fillId="8" borderId="6" xfId="128" applyNumberFormat="1" applyFont="1" applyFill="1" applyBorder="1" applyProtection="1"/>
    <xf numFmtId="0" fontId="23" fillId="0" borderId="0" xfId="0" applyFont="1" applyAlignment="1">
      <alignment vertical="top"/>
    </xf>
    <xf numFmtId="0" fontId="1" fillId="0" borderId="0" xfId="0" applyFont="1" applyAlignment="1">
      <alignment horizontal="right" vertical="top" wrapText="1"/>
    </xf>
    <xf numFmtId="0" fontId="2" fillId="0" borderId="0" xfId="0" applyFont="1" applyAlignment="1">
      <alignment vertical="top"/>
    </xf>
    <xf numFmtId="0" fontId="2" fillId="0" borderId="0" xfId="0" applyFont="1" applyAlignment="1">
      <alignment vertical="top" wrapText="1"/>
    </xf>
    <xf numFmtId="0" fontId="16" fillId="0" borderId="0" xfId="0" applyFont="1" applyAlignment="1">
      <alignment vertical="top" wrapText="1"/>
    </xf>
    <xf numFmtId="0" fontId="16" fillId="0" borderId="0" xfId="0" applyFont="1" applyAlignment="1">
      <alignment vertical="top"/>
    </xf>
    <xf numFmtId="165" fontId="1" fillId="0" borderId="0" xfId="128" applyNumberFormat="1" applyFont="1" applyFill="1" applyBorder="1" applyProtection="1"/>
    <xf numFmtId="1" fontId="0" fillId="0" borderId="0" xfId="121" applyNumberFormat="1" applyFont="1" applyFill="1" applyBorder="1" applyAlignment="1">
      <alignment horizontal="center"/>
    </xf>
    <xf numFmtId="0" fontId="0" fillId="0" borderId="0" xfId="128" applyNumberFormat="1" applyFont="1" applyFill="1" applyBorder="1"/>
    <xf numFmtId="0" fontId="13" fillId="0" borderId="0" xfId="0" applyFont="1"/>
    <xf numFmtId="9" fontId="7" fillId="6" borderId="4" xfId="121" applyFont="1" applyFill="1" applyBorder="1"/>
    <xf numFmtId="165" fontId="0" fillId="4" borderId="4" xfId="128" applyNumberFormat="1" applyFont="1" applyFill="1" applyBorder="1"/>
    <xf numFmtId="0" fontId="0" fillId="4" borderId="4" xfId="0" applyFill="1" applyBorder="1"/>
    <xf numFmtId="9" fontId="0" fillId="4" borderId="4" xfId="121" applyFont="1" applyFill="1" applyBorder="1"/>
    <xf numFmtId="9" fontId="0" fillId="4" borderId="4" xfId="121" applyFont="1" applyFill="1" applyBorder="1" applyAlignment="1">
      <alignment horizontal="center"/>
    </xf>
    <xf numFmtId="0" fontId="22" fillId="0" borderId="0" xfId="0" applyFont="1" applyAlignment="1">
      <alignment vertical="top" wrapText="1"/>
    </xf>
    <xf numFmtId="0" fontId="24" fillId="0" borderId="0" xfId="0" applyFont="1" applyAlignment="1">
      <alignment vertical="top" wrapText="1"/>
    </xf>
    <xf numFmtId="0" fontId="0" fillId="0" borderId="0" xfId="0" quotePrefix="1"/>
    <xf numFmtId="165" fontId="2" fillId="0" borderId="4" xfId="128" applyNumberFormat="1" applyFont="1" applyFill="1" applyBorder="1" applyAlignment="1" applyProtection="1">
      <alignment horizontal="center"/>
      <protection locked="0"/>
    </xf>
    <xf numFmtId="0" fontId="0" fillId="3" borderId="4" xfId="0" applyFill="1" applyBorder="1" applyAlignment="1" applyProtection="1">
      <alignment horizontal="center"/>
      <protection locked="0"/>
    </xf>
    <xf numFmtId="9" fontId="0" fillId="4" borderId="4" xfId="121" applyFont="1" applyFill="1" applyBorder="1" applyProtection="1">
      <protection locked="0"/>
    </xf>
    <xf numFmtId="9" fontId="0" fillId="7" borderId="4" xfId="121" applyFont="1" applyFill="1" applyBorder="1" applyProtection="1">
      <protection locked="0"/>
    </xf>
    <xf numFmtId="8" fontId="0" fillId="3" borderId="4" xfId="128" applyNumberFormat="1" applyFont="1" applyFill="1" applyBorder="1" applyAlignment="1" applyProtection="1">
      <alignment horizontal="center"/>
      <protection locked="0"/>
    </xf>
    <xf numFmtId="165" fontId="0" fillId="3" borderId="4" xfId="128" applyNumberFormat="1" applyFont="1" applyFill="1" applyBorder="1" applyAlignment="1" applyProtection="1">
      <alignment horizontal="center"/>
      <protection locked="0"/>
    </xf>
    <xf numFmtId="164" fontId="0" fillId="3" borderId="4" xfId="121" applyNumberFormat="1" applyFont="1" applyFill="1" applyBorder="1" applyAlignment="1" applyProtection="1">
      <alignment horizontal="center"/>
      <protection locked="0"/>
    </xf>
    <xf numFmtId="9" fontId="0" fillId="3" borderId="4" xfId="121" applyFont="1" applyFill="1" applyBorder="1" applyAlignment="1" applyProtection="1">
      <alignment horizontal="center"/>
      <protection locked="0"/>
    </xf>
    <xf numFmtId="1" fontId="0" fillId="3" borderId="4" xfId="121" applyNumberFormat="1" applyFont="1" applyFill="1" applyBorder="1" applyAlignment="1" applyProtection="1">
      <alignment horizontal="center"/>
      <protection locked="0"/>
    </xf>
    <xf numFmtId="0" fontId="0" fillId="3" borderId="4" xfId="0" applyFill="1" applyBorder="1" applyProtection="1">
      <protection locked="0"/>
    </xf>
    <xf numFmtId="165" fontId="0" fillId="3" borderId="4" xfId="128" applyNumberFormat="1" applyFont="1" applyFill="1" applyBorder="1" applyProtection="1">
      <protection locked="0"/>
    </xf>
    <xf numFmtId="9" fontId="0" fillId="3" borderId="4" xfId="121" applyFont="1" applyFill="1" applyBorder="1" applyProtection="1">
      <protection locked="0"/>
    </xf>
    <xf numFmtId="0" fontId="0" fillId="3" borderId="4" xfId="128" applyNumberFormat="1" applyFont="1" applyFill="1" applyBorder="1" applyProtection="1">
      <protection locked="0"/>
    </xf>
    <xf numFmtId="0" fontId="7" fillId="6" borderId="15" xfId="0" applyFont="1" applyFill="1" applyBorder="1" applyAlignment="1">
      <alignment horizontal="center"/>
    </xf>
    <xf numFmtId="165" fontId="0" fillId="0" borderId="11" xfId="0" applyNumberFormat="1" applyBorder="1"/>
    <xf numFmtId="0" fontId="0" fillId="4" borderId="4" xfId="128" applyNumberFormat="1" applyFont="1" applyFill="1" applyBorder="1" applyProtection="1">
      <protection locked="0"/>
    </xf>
    <xf numFmtId="0" fontId="5" fillId="0" borderId="29" xfId="0" applyFont="1" applyBorder="1"/>
    <xf numFmtId="9" fontId="0" fillId="0" borderId="30" xfId="121" applyFont="1" applyFill="1" applyBorder="1"/>
    <xf numFmtId="9" fontId="0" fillId="0" borderId="31" xfId="121" applyFont="1" applyFill="1" applyBorder="1"/>
    <xf numFmtId="9" fontId="2" fillId="4" borderId="5" xfId="121" applyFont="1" applyFill="1" applyBorder="1"/>
    <xf numFmtId="0" fontId="5" fillId="0" borderId="33" xfId="0" applyFont="1" applyBorder="1" applyAlignment="1">
      <alignment horizontal="center"/>
    </xf>
    <xf numFmtId="165" fontId="0" fillId="0" borderId="33" xfId="128" applyNumberFormat="1" applyFont="1" applyFill="1" applyBorder="1"/>
    <xf numFmtId="9" fontId="0" fillId="0" borderId="34" xfId="121" applyFont="1" applyFill="1" applyBorder="1"/>
    <xf numFmtId="165" fontId="0" fillId="0" borderId="35" xfId="128" applyNumberFormat="1" applyFont="1" applyFill="1" applyBorder="1"/>
    <xf numFmtId="165" fontId="0" fillId="0" borderId="36" xfId="128" applyNumberFormat="1" applyFont="1" applyFill="1" applyBorder="1"/>
    <xf numFmtId="0" fontId="7" fillId="6" borderId="14" xfId="0" applyFont="1" applyFill="1" applyBorder="1"/>
    <xf numFmtId="0" fontId="7" fillId="6" borderId="38" xfId="0" applyFont="1" applyFill="1" applyBorder="1" applyAlignment="1">
      <alignment horizontal="center"/>
    </xf>
    <xf numFmtId="0" fontId="0" fillId="0" borderId="16" xfId="0" applyBorder="1" applyAlignment="1">
      <alignment wrapText="1"/>
    </xf>
    <xf numFmtId="165" fontId="0" fillId="0" borderId="17" xfId="0" applyNumberFormat="1" applyBorder="1"/>
    <xf numFmtId="0" fontId="0" fillId="0" borderId="16" xfId="0" applyBorder="1"/>
    <xf numFmtId="0" fontId="0" fillId="0" borderId="30" xfId="0" applyBorder="1"/>
    <xf numFmtId="165" fontId="0" fillId="0" borderId="31" xfId="0" applyNumberFormat="1" applyBorder="1"/>
    <xf numFmtId="0" fontId="0" fillId="0" borderId="18" xfId="0" applyBorder="1"/>
    <xf numFmtId="165" fontId="0" fillId="0" borderId="19" xfId="0" applyNumberFormat="1" applyBorder="1"/>
    <xf numFmtId="0" fontId="1" fillId="8" borderId="20" xfId="0" applyFont="1" applyFill="1" applyBorder="1"/>
    <xf numFmtId="165" fontId="1" fillId="8" borderId="39" xfId="0" applyNumberFormat="1" applyFont="1" applyFill="1" applyBorder="1"/>
    <xf numFmtId="165" fontId="1" fillId="8" borderId="21" xfId="0" applyNumberFormat="1" applyFont="1" applyFill="1" applyBorder="1"/>
    <xf numFmtId="9" fontId="0" fillId="4" borderId="37" xfId="121" applyFont="1" applyFill="1" applyBorder="1" applyAlignment="1">
      <alignment horizontal="center"/>
    </xf>
    <xf numFmtId="9" fontId="0" fillId="4" borderId="16" xfId="121" applyFont="1" applyFill="1" applyBorder="1" applyAlignment="1">
      <alignment horizontal="center"/>
    </xf>
    <xf numFmtId="8" fontId="10" fillId="8" borderId="20" xfId="0" applyNumberFormat="1" applyFont="1" applyFill="1" applyBorder="1"/>
    <xf numFmtId="8" fontId="10" fillId="8" borderId="21" xfId="0" applyNumberFormat="1" applyFont="1" applyFill="1" applyBorder="1"/>
    <xf numFmtId="0" fontId="1" fillId="8" borderId="40" xfId="0" applyFont="1" applyFill="1" applyBorder="1"/>
    <xf numFmtId="9" fontId="10" fillId="8" borderId="16" xfId="0" applyNumberFormat="1" applyFont="1" applyFill="1" applyBorder="1"/>
    <xf numFmtId="9" fontId="10" fillId="8" borderId="17" xfId="0" applyNumberFormat="1" applyFont="1" applyFill="1" applyBorder="1"/>
    <xf numFmtId="9" fontId="10" fillId="8" borderId="33" xfId="0" applyNumberFormat="1" applyFont="1" applyFill="1" applyBorder="1"/>
    <xf numFmtId="165" fontId="10" fillId="8" borderId="20" xfId="0" applyNumberFormat="1" applyFont="1" applyFill="1" applyBorder="1"/>
    <xf numFmtId="0" fontId="1" fillId="8" borderId="27" xfId="0" applyFont="1" applyFill="1" applyBorder="1" applyAlignment="1">
      <alignment wrapText="1"/>
    </xf>
    <xf numFmtId="0" fontId="25" fillId="0" borderId="4" xfId="0" applyFont="1" applyBorder="1"/>
    <xf numFmtId="0" fontId="0" fillId="7" borderId="4" xfId="0" applyFill="1" applyBorder="1"/>
    <xf numFmtId="165" fontId="0" fillId="7" borderId="4" xfId="0" applyNumberFormat="1" applyFill="1" applyBorder="1"/>
    <xf numFmtId="165" fontId="1" fillId="0" borderId="0" xfId="0" applyNumberFormat="1" applyFont="1" applyAlignment="1">
      <alignment horizontal="right"/>
    </xf>
    <xf numFmtId="165" fontId="1" fillId="8" borderId="4" xfId="0" applyNumberFormat="1" applyFont="1" applyFill="1" applyBorder="1"/>
    <xf numFmtId="165" fontId="1" fillId="0" borderId="41" xfId="0" applyNumberFormat="1" applyFont="1" applyBorder="1" applyAlignment="1">
      <alignment horizontal="right"/>
    </xf>
    <xf numFmtId="165" fontId="0" fillId="3" borderId="4" xfId="0" applyNumberFormat="1" applyFill="1" applyBorder="1" applyProtection="1">
      <protection locked="0"/>
    </xf>
    <xf numFmtId="8" fontId="0" fillId="3" borderId="4" xfId="128" applyNumberFormat="1" applyFont="1" applyFill="1" applyBorder="1" applyAlignment="1" applyProtection="1">
      <alignment horizontal="right"/>
      <protection locked="0"/>
    </xf>
    <xf numFmtId="165" fontId="0" fillId="3" borderId="4" xfId="128" applyNumberFormat="1" applyFont="1" applyFill="1" applyBorder="1" applyAlignment="1" applyProtection="1">
      <alignment horizontal="right"/>
      <protection locked="0"/>
    </xf>
    <xf numFmtId="8" fontId="0" fillId="4" borderId="4" xfId="121" applyNumberFormat="1" applyFont="1" applyFill="1" applyBorder="1" applyAlignment="1">
      <alignment horizontal="right"/>
    </xf>
    <xf numFmtId="165" fontId="0" fillId="4" borderId="4" xfId="128" applyNumberFormat="1" applyFont="1" applyFill="1" applyBorder="1" applyAlignment="1">
      <alignment horizontal="right"/>
    </xf>
    <xf numFmtId="165" fontId="0" fillId="4" borderId="4" xfId="128" applyNumberFormat="1" applyFont="1" applyFill="1" applyBorder="1" applyAlignment="1" applyProtection="1">
      <alignment horizontal="right"/>
    </xf>
    <xf numFmtId="7" fontId="0" fillId="4" borderId="4" xfId="128" applyNumberFormat="1" applyFont="1" applyFill="1" applyBorder="1" applyAlignment="1" applyProtection="1">
      <alignment horizontal="right"/>
    </xf>
    <xf numFmtId="0" fontId="7" fillId="6" borderId="14" xfId="0" applyFont="1" applyFill="1" applyBorder="1" applyAlignment="1">
      <alignment horizontal="center"/>
    </xf>
    <xf numFmtId="0" fontId="7" fillId="6" borderId="15" xfId="0" applyFont="1" applyFill="1" applyBorder="1" applyAlignment="1">
      <alignment horizontal="center"/>
    </xf>
    <xf numFmtId="0" fontId="7" fillId="6" borderId="32" xfId="0" applyFont="1" applyFill="1" applyBorder="1" applyAlignment="1">
      <alignment horizontal="center"/>
    </xf>
    <xf numFmtId="0" fontId="1"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21" fillId="0" borderId="0" xfId="129" applyAlignment="1">
      <alignment horizontal="left"/>
    </xf>
    <xf numFmtId="0" fontId="0" fillId="0" borderId="0" xfId="0" applyAlignment="1">
      <alignment horizontal="left" wrapText="1"/>
    </xf>
  </cellXfs>
  <cellStyles count="130">
    <cellStyle name="Comma" xfId="122" builtinId="3"/>
    <cellStyle name="Currency" xfId="128" builtinId="4"/>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9" builtinId="8"/>
    <cellStyle name="Normal" xfId="0" builtinId="0"/>
    <cellStyle name="Percent" xfId="121" builtinId="5"/>
  </cellStyles>
  <dxfs count="8">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1" defaultTableStyle="TableStyleMedium2" defaultPivotStyle="PivotStyleLight16">
    <tableStyle name="Invisible" pivot="0" table="0" count="0" xr9:uid="{D6B653AB-8D7A-4010-BD4E-5C742F5C9BF3}"/>
  </tableStyles>
  <colors>
    <mruColors>
      <color rgb="FFBFFFA7"/>
      <color rgb="FFFFFFCC"/>
      <color rgb="FF0056B4"/>
      <color rgb="FFD16309"/>
      <color rgb="FFE85E02"/>
      <color rgb="FF6DAD3A"/>
      <color rgb="FFFFFFFF"/>
      <color rgb="FFE1FBFF"/>
      <color rgb="FFB4F3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hyperlink" Target="#WOTC!A4"/><Relationship Id="rId3" Type="http://schemas.openxmlformats.org/officeDocument/2006/relationships/hyperlink" Target="#'ROI Questionnaire'!A4"/><Relationship Id="rId7" Type="http://schemas.openxmlformats.org/officeDocument/2006/relationships/hyperlink" Target="#'Subsidy WS'!A4"/><Relationship Id="rId2" Type="http://schemas.openxmlformats.org/officeDocument/2006/relationships/hyperlink" Target="#'ROI Summary'!A3"/><Relationship Id="rId1" Type="http://schemas.openxmlformats.org/officeDocument/2006/relationships/image" Target="../media/image1.png"/><Relationship Id="rId6" Type="http://schemas.openxmlformats.org/officeDocument/2006/relationships/hyperlink" Target="#'ROI Summary'!A4"/><Relationship Id="rId5" Type="http://schemas.openxmlformats.org/officeDocument/2006/relationships/hyperlink" Target="#'Cost of Turnover WS'!A4"/><Relationship Id="rId4" Type="http://schemas.openxmlformats.org/officeDocument/2006/relationships/hyperlink" Target="#'Cost of Vacancy WS'!A4"/><Relationship Id="rId9" Type="http://schemas.openxmlformats.org/officeDocument/2006/relationships/hyperlink" Target="#'FL EL Tax Credit'!A4"/></Relationships>
</file>

<file path=xl/drawings/_rels/drawing2.xml.rels><?xml version="1.0" encoding="UTF-8" standalone="yes"?>
<Relationships xmlns="http://schemas.openxmlformats.org/package/2006/relationships"><Relationship Id="rId8" Type="http://schemas.openxmlformats.org/officeDocument/2006/relationships/hyperlink" Target="#'FL EL Tax Credit'!A4"/><Relationship Id="rId3" Type="http://schemas.openxmlformats.org/officeDocument/2006/relationships/hyperlink" Target="#'Cost of Vacancy WS'!A4"/><Relationship Id="rId7" Type="http://schemas.openxmlformats.org/officeDocument/2006/relationships/hyperlink" Target="#WOTC!A4"/><Relationship Id="rId2" Type="http://schemas.openxmlformats.org/officeDocument/2006/relationships/hyperlink" Target="#'ROI Summary'!A4"/><Relationship Id="rId1" Type="http://schemas.openxmlformats.org/officeDocument/2006/relationships/image" Target="../media/image1.png"/><Relationship Id="rId6" Type="http://schemas.openxmlformats.org/officeDocument/2006/relationships/hyperlink" Target="#'Subsidy WS'!A4"/><Relationship Id="rId5" Type="http://schemas.openxmlformats.org/officeDocument/2006/relationships/hyperlink" Target="#'ROI Questionnaire'!A4"/><Relationship Id="rId4" Type="http://schemas.openxmlformats.org/officeDocument/2006/relationships/hyperlink" Target="#'Cost of Turnover WS'!A4"/></Relationships>
</file>

<file path=xl/drawings/_rels/drawing3.xml.rels><?xml version="1.0" encoding="UTF-8" standalone="yes"?>
<Relationships xmlns="http://schemas.openxmlformats.org/package/2006/relationships"><Relationship Id="rId8" Type="http://schemas.openxmlformats.org/officeDocument/2006/relationships/hyperlink" Target="#'Subsidy WS'!A4"/><Relationship Id="rId3" Type="http://schemas.openxmlformats.org/officeDocument/2006/relationships/hyperlink" Target="#'Cost of Vacancy WS'!A4"/><Relationship Id="rId7" Type="http://schemas.openxmlformats.org/officeDocument/2006/relationships/hyperlink" Target="#'ROI Summary'!A4"/><Relationship Id="rId2" Type="http://schemas.openxmlformats.org/officeDocument/2006/relationships/hyperlink" Target="#'ROI Details'!A4"/><Relationship Id="rId1" Type="http://schemas.openxmlformats.org/officeDocument/2006/relationships/image" Target="../media/image1.png"/><Relationship Id="rId6" Type="http://schemas.openxmlformats.org/officeDocument/2006/relationships/hyperlink" Target="#'ROI Questionnaire'!A4"/><Relationship Id="rId5" Type="http://schemas.openxmlformats.org/officeDocument/2006/relationships/hyperlink" Target="#'Cost of Turnover WS'!A4"/><Relationship Id="rId10" Type="http://schemas.openxmlformats.org/officeDocument/2006/relationships/hyperlink" Target="#'FL EL Tax Credit'!A4"/><Relationship Id="rId4" Type="http://schemas.openxmlformats.org/officeDocument/2006/relationships/hyperlink" Target="#'Cost per Hire WS'!A4"/><Relationship Id="rId9" Type="http://schemas.openxmlformats.org/officeDocument/2006/relationships/hyperlink" Target="#WOTC!A4"/></Relationships>
</file>

<file path=xl/drawings/_rels/drawing4.xml.rels><?xml version="1.0" encoding="UTF-8" standalone="yes"?>
<Relationships xmlns="http://schemas.openxmlformats.org/package/2006/relationships"><Relationship Id="rId8" Type="http://schemas.openxmlformats.org/officeDocument/2006/relationships/hyperlink" Target="#'FL EL Tax Credit'!A4"/><Relationship Id="rId3" Type="http://schemas.openxmlformats.org/officeDocument/2006/relationships/hyperlink" Target="#'Cost of Turnover WS'!A4"/><Relationship Id="rId7" Type="http://schemas.openxmlformats.org/officeDocument/2006/relationships/hyperlink" Target="#WOTC!A4"/><Relationship Id="rId2" Type="http://schemas.openxmlformats.org/officeDocument/2006/relationships/hyperlink" Target="#'Cost of Vacancy WS'!A4"/><Relationship Id="rId1" Type="http://schemas.openxmlformats.org/officeDocument/2006/relationships/image" Target="../media/image1.png"/><Relationship Id="rId6" Type="http://schemas.openxmlformats.org/officeDocument/2006/relationships/hyperlink" Target="#'Subsidy WS'!A4"/><Relationship Id="rId5" Type="http://schemas.openxmlformats.org/officeDocument/2006/relationships/hyperlink" Target="#'ROI Summary'!A4"/><Relationship Id="rId4" Type="http://schemas.openxmlformats.org/officeDocument/2006/relationships/hyperlink" Target="#'ROI Questionnaire'!A4"/></Relationships>
</file>

<file path=xl/drawings/_rels/drawing5.xml.rels><?xml version="1.0" encoding="UTF-8" standalone="yes"?>
<Relationships xmlns="http://schemas.openxmlformats.org/package/2006/relationships"><Relationship Id="rId8" Type="http://schemas.openxmlformats.org/officeDocument/2006/relationships/hyperlink" Target="#WOTC!A4"/><Relationship Id="rId3" Type="http://schemas.openxmlformats.org/officeDocument/2006/relationships/hyperlink" Target="#'Cost of Vacancy WS'!A4"/><Relationship Id="rId7" Type="http://schemas.openxmlformats.org/officeDocument/2006/relationships/hyperlink" Target="#'Subsidy WS'!A4"/><Relationship Id="rId2" Type="http://schemas.openxmlformats.org/officeDocument/2006/relationships/hyperlink" Target="#'Cost per Hire WS'!A4"/><Relationship Id="rId1" Type="http://schemas.openxmlformats.org/officeDocument/2006/relationships/image" Target="../media/image1.png"/><Relationship Id="rId6" Type="http://schemas.openxmlformats.org/officeDocument/2006/relationships/hyperlink" Target="#'ROI Summary'!A4"/><Relationship Id="rId5" Type="http://schemas.openxmlformats.org/officeDocument/2006/relationships/hyperlink" Target="#'ROI Questionnaire'!A4"/><Relationship Id="rId4" Type="http://schemas.openxmlformats.org/officeDocument/2006/relationships/hyperlink" Target="#'Cost of Turnover WS'!A4"/><Relationship Id="rId9" Type="http://schemas.openxmlformats.org/officeDocument/2006/relationships/hyperlink" Target="#'FL EL Tax Credit'!A4"/></Relationships>
</file>

<file path=xl/drawings/_rels/drawing6.xml.rels><?xml version="1.0" encoding="UTF-8" standalone="yes"?>
<Relationships xmlns="http://schemas.openxmlformats.org/package/2006/relationships"><Relationship Id="rId8" Type="http://schemas.openxmlformats.org/officeDocument/2006/relationships/hyperlink" Target="#'FL EL Tax Credit'!A4"/><Relationship Id="rId3" Type="http://schemas.openxmlformats.org/officeDocument/2006/relationships/hyperlink" Target="#'Cost of Vacancy WS'!A4"/><Relationship Id="rId7" Type="http://schemas.openxmlformats.org/officeDocument/2006/relationships/hyperlink" Target="#WOTC!A4"/><Relationship Id="rId2" Type="http://schemas.openxmlformats.org/officeDocument/2006/relationships/hyperlink" Target="#'Cost of Turnover WS'!A4"/><Relationship Id="rId1" Type="http://schemas.openxmlformats.org/officeDocument/2006/relationships/image" Target="../media/image1.png"/><Relationship Id="rId6" Type="http://schemas.openxmlformats.org/officeDocument/2006/relationships/hyperlink" Target="#'Subsidy WS'!A4"/><Relationship Id="rId5" Type="http://schemas.openxmlformats.org/officeDocument/2006/relationships/hyperlink" Target="#'ROI Summary'!A4"/><Relationship Id="rId4" Type="http://schemas.openxmlformats.org/officeDocument/2006/relationships/hyperlink" Target="#'ROI Questionnaire'!A4"/></Relationships>
</file>

<file path=xl/drawings/_rels/drawing7.xml.rels><?xml version="1.0" encoding="UTF-8" standalone="yes"?>
<Relationships xmlns="http://schemas.openxmlformats.org/package/2006/relationships"><Relationship Id="rId8" Type="http://schemas.openxmlformats.org/officeDocument/2006/relationships/hyperlink" Target="#'FL EL Tax Credit'!A4"/><Relationship Id="rId3" Type="http://schemas.openxmlformats.org/officeDocument/2006/relationships/hyperlink" Target="#'Cost of Vacancy WS'!A4"/><Relationship Id="rId7" Type="http://schemas.openxmlformats.org/officeDocument/2006/relationships/hyperlink" Target="#WOTC!A4"/><Relationship Id="rId2" Type="http://schemas.openxmlformats.org/officeDocument/2006/relationships/hyperlink" Target="#'Subsidy WS'!A4"/><Relationship Id="rId1" Type="http://schemas.openxmlformats.org/officeDocument/2006/relationships/image" Target="../media/image1.png"/><Relationship Id="rId6" Type="http://schemas.openxmlformats.org/officeDocument/2006/relationships/hyperlink" Target="#'ROI Summary'!A4"/><Relationship Id="rId5" Type="http://schemas.openxmlformats.org/officeDocument/2006/relationships/hyperlink" Target="#'ROI Questionnaire'!A4"/><Relationship Id="rId4" Type="http://schemas.openxmlformats.org/officeDocument/2006/relationships/hyperlink" Target="#'Cost of Turnover WS'!A4"/></Relationships>
</file>

<file path=xl/drawings/_rels/drawing8.xml.rels><?xml version="1.0" encoding="UTF-8" standalone="yes"?>
<Relationships xmlns="http://schemas.openxmlformats.org/package/2006/relationships"><Relationship Id="rId8" Type="http://schemas.openxmlformats.org/officeDocument/2006/relationships/hyperlink" Target="#'Subsidy WS'!A4"/><Relationship Id="rId3" Type="http://schemas.openxmlformats.org/officeDocument/2006/relationships/hyperlink" Target="#WOTC!A4"/><Relationship Id="rId7" Type="http://schemas.openxmlformats.org/officeDocument/2006/relationships/hyperlink" Target="#'ROI Summary'!A4"/><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ROI Questionnaire'!A4"/><Relationship Id="rId5" Type="http://schemas.openxmlformats.org/officeDocument/2006/relationships/hyperlink" Target="#'Cost of Turnover WS'!A4"/><Relationship Id="rId4" Type="http://schemas.openxmlformats.org/officeDocument/2006/relationships/hyperlink" Target="#'Cost of Vacancy WS'!A4"/><Relationship Id="rId9" Type="http://schemas.openxmlformats.org/officeDocument/2006/relationships/hyperlink" Target="#'FL EL Tax Credit'!A4"/></Relationships>
</file>

<file path=xl/drawings/_rels/drawing9.xml.rels><?xml version="1.0" encoding="UTF-8" standalone="yes"?>
<Relationships xmlns="http://schemas.openxmlformats.org/package/2006/relationships"><Relationship Id="rId8" Type="http://schemas.openxmlformats.org/officeDocument/2006/relationships/hyperlink" Target="#'Subsidy WS'!A4"/><Relationship Id="rId3" Type="http://schemas.openxmlformats.org/officeDocument/2006/relationships/hyperlink" Target="#'FL EL Tax Credit'!A4"/><Relationship Id="rId7" Type="http://schemas.openxmlformats.org/officeDocument/2006/relationships/hyperlink" Target="#'ROI Summary'!A4"/><Relationship Id="rId2" Type="http://schemas.openxmlformats.org/officeDocument/2006/relationships/hyperlink" Target="https://floridarevenue.com/Forms_library/current/f1198.pdf" TargetMode="External"/><Relationship Id="rId1" Type="http://schemas.openxmlformats.org/officeDocument/2006/relationships/image" Target="../media/image1.png"/><Relationship Id="rId6" Type="http://schemas.openxmlformats.org/officeDocument/2006/relationships/hyperlink" Target="#'ROI Questionnaire'!A4"/><Relationship Id="rId5" Type="http://schemas.openxmlformats.org/officeDocument/2006/relationships/hyperlink" Target="#'Cost of Turnover WS'!A4"/><Relationship Id="rId4" Type="http://schemas.openxmlformats.org/officeDocument/2006/relationships/hyperlink" Target="#'Cost of Vacancy WS'!A4"/><Relationship Id="rId9" Type="http://schemas.openxmlformats.org/officeDocument/2006/relationships/hyperlink" Target="#WOTC!A4"/></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303139</xdr:rowOff>
    </xdr:from>
    <xdr:to>
      <xdr:col>2</xdr:col>
      <xdr:colOff>1341590</xdr:colOff>
      <xdr:row>2</xdr:row>
      <xdr:rowOff>0</xdr:rowOff>
    </xdr:to>
    <xdr:pic>
      <xdr:nvPicPr>
        <xdr:cNvPr id="2" name="Picture 1" descr="CareerSource Tampa Bay | Employment Services: Agencies, Consulting,  Coaching, Traini">
          <a:extLst>
            <a:ext uri="{FF2B5EF4-FFF2-40B4-BE49-F238E27FC236}">
              <a16:creationId xmlns:a16="http://schemas.microsoft.com/office/drawing/2014/main" id="{9EF6078E-DED4-2766-7FF3-1D92D253BE4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817" b="8627"/>
        <a:stretch/>
      </xdr:blipFill>
      <xdr:spPr bwMode="auto">
        <a:xfrm>
          <a:off x="228600" y="303139"/>
          <a:ext cx="1641628" cy="6017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1495425</xdr:colOff>
      <xdr:row>1</xdr:row>
      <xdr:rowOff>238125</xdr:rowOff>
    </xdr:from>
    <xdr:to>
      <xdr:col>4</xdr:col>
      <xdr:colOff>0</xdr:colOff>
      <xdr:row>2</xdr:row>
      <xdr:rowOff>0</xdr:rowOff>
    </xdr:to>
    <xdr:sp macro="" textlink="">
      <xdr:nvSpPr>
        <xdr:cNvPr id="3" name="TextBox 2">
          <a:extLst>
            <a:ext uri="{FF2B5EF4-FFF2-40B4-BE49-F238E27FC236}">
              <a16:creationId xmlns:a16="http://schemas.microsoft.com/office/drawing/2014/main" id="{BC226A2E-3C09-DAFF-D260-F9CDA66A0506}"/>
            </a:ext>
          </a:extLst>
        </xdr:cNvPr>
        <xdr:cNvSpPr txBox="1"/>
      </xdr:nvSpPr>
      <xdr:spPr>
        <a:xfrm>
          <a:off x="2028825" y="238125"/>
          <a:ext cx="4105275" cy="666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u="sng">
              <a:solidFill>
                <a:srgbClr val="0056B4"/>
              </a:solidFill>
            </a:rPr>
            <a:t>RETURN ON INVESTMENT</a:t>
          </a:r>
          <a:r>
            <a:rPr lang="en-US" sz="1600" b="1" u="sng" baseline="0">
              <a:solidFill>
                <a:srgbClr val="0056B4"/>
              </a:solidFill>
            </a:rPr>
            <a:t> CALCULATOR</a:t>
          </a:r>
        </a:p>
        <a:p>
          <a:pPr algn="ctr"/>
          <a:r>
            <a:rPr lang="en-US" sz="1600" b="1" u="none" baseline="0">
              <a:solidFill>
                <a:srgbClr val="0056B4"/>
              </a:solidFill>
            </a:rPr>
            <a:t>ROI QUESTIONNAIRE</a:t>
          </a:r>
        </a:p>
        <a:p>
          <a:pPr algn="ctr"/>
          <a:endParaRPr lang="en-US" sz="1600"/>
        </a:p>
      </xdr:txBody>
    </xdr:sp>
    <xdr:clientData/>
  </xdr:twoCellAnchor>
  <xdr:twoCellAnchor>
    <xdr:from>
      <xdr:col>3</xdr:col>
      <xdr:colOff>0</xdr:colOff>
      <xdr:row>157</xdr:row>
      <xdr:rowOff>9525</xdr:rowOff>
    </xdr:from>
    <xdr:to>
      <xdr:col>4</xdr:col>
      <xdr:colOff>0</xdr:colOff>
      <xdr:row>159</xdr:row>
      <xdr:rowOff>0</xdr:rowOff>
    </xdr:to>
    <xdr:sp macro="" textlink="">
      <xdr:nvSpPr>
        <xdr:cNvPr id="8" name="Rectangle: Rounded Corners 7">
          <a:hlinkClick xmlns:r="http://schemas.openxmlformats.org/officeDocument/2006/relationships" r:id="rId2"/>
          <a:extLst>
            <a:ext uri="{FF2B5EF4-FFF2-40B4-BE49-F238E27FC236}">
              <a16:creationId xmlns:a16="http://schemas.microsoft.com/office/drawing/2014/main" id="{8D5201B2-5140-4952-8DC7-5B4890E65569}"/>
            </a:ext>
          </a:extLst>
        </xdr:cNvPr>
        <xdr:cNvSpPr/>
      </xdr:nvSpPr>
      <xdr:spPr>
        <a:xfrm>
          <a:off x="5210175" y="25231725"/>
          <a:ext cx="1314450" cy="314325"/>
        </a:xfrm>
        <a:prstGeom prst="roundRect">
          <a:avLst/>
        </a:prstGeom>
        <a:solidFill>
          <a:srgbClr val="00B050"/>
        </a:solidFill>
        <a:ln>
          <a:solidFill>
            <a:srgbClr val="00B050"/>
          </a:solidFill>
        </a:ln>
        <a:scene3d>
          <a:camera prst="orthographicFront"/>
          <a:lightRig rig="threePt" dir="t"/>
        </a:scene3d>
        <a:sp3d>
          <a:bevelT/>
        </a:sp3d>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a:t>ROI Summary</a:t>
          </a:r>
        </a:p>
      </xdr:txBody>
    </xdr:sp>
    <xdr:clientData/>
  </xdr:twoCellAnchor>
  <xdr:twoCellAnchor>
    <xdr:from>
      <xdr:col>1</xdr:col>
      <xdr:colOff>0</xdr:colOff>
      <xdr:row>0</xdr:row>
      <xdr:rowOff>57150</xdr:rowOff>
    </xdr:from>
    <xdr:to>
      <xdr:col>9</xdr:col>
      <xdr:colOff>664487</xdr:colOff>
      <xdr:row>0</xdr:row>
      <xdr:rowOff>266701</xdr:rowOff>
    </xdr:to>
    <xdr:grpSp>
      <xdr:nvGrpSpPr>
        <xdr:cNvPr id="5" name="Group 4">
          <a:extLst>
            <a:ext uri="{FF2B5EF4-FFF2-40B4-BE49-F238E27FC236}">
              <a16:creationId xmlns:a16="http://schemas.microsoft.com/office/drawing/2014/main" id="{B6606AC6-9B11-4E37-AC93-AB2A007BEA4D}"/>
            </a:ext>
          </a:extLst>
        </xdr:cNvPr>
        <xdr:cNvGrpSpPr/>
      </xdr:nvGrpSpPr>
      <xdr:grpSpPr>
        <a:xfrm>
          <a:off x="228600" y="57150"/>
          <a:ext cx="10141862" cy="209551"/>
          <a:chOff x="228875" y="47431"/>
          <a:chExt cx="10107710" cy="201430"/>
        </a:xfrm>
      </xdr:grpSpPr>
      <xdr:sp macro="" textlink="">
        <xdr:nvSpPr>
          <xdr:cNvPr id="6" name="Rectangle: Rounded Corners 5">
            <a:hlinkClick xmlns:r="http://schemas.openxmlformats.org/officeDocument/2006/relationships" r:id="rId3"/>
            <a:extLst>
              <a:ext uri="{FF2B5EF4-FFF2-40B4-BE49-F238E27FC236}">
                <a16:creationId xmlns:a16="http://schemas.microsoft.com/office/drawing/2014/main" id="{A2C4254C-C2AA-3EF9-9F8A-77A5BBD656BE}"/>
              </a:ext>
            </a:extLst>
          </xdr:cNvPr>
          <xdr:cNvSpPr>
            <a:spLocks/>
          </xdr:cNvSpPr>
        </xdr:nvSpPr>
        <xdr:spPr>
          <a:xfrm>
            <a:off x="228875" y="47431"/>
            <a:ext cx="1221593" cy="201048"/>
          </a:xfrm>
          <a:prstGeom prst="roundRect">
            <a:avLst/>
          </a:prstGeom>
          <a:solidFill>
            <a:srgbClr val="0070C0"/>
          </a:solidFill>
          <a:ln>
            <a:solidFill>
              <a:srgbClr val="0070C0"/>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a:t>Return to Top</a:t>
            </a:r>
          </a:p>
        </xdr:txBody>
      </xdr:sp>
      <xdr:sp macro="[0]!ROI_QUEST_PRINT" textlink="">
        <xdr:nvSpPr>
          <xdr:cNvPr id="9" name="Rectangle: Rounded Corners 8">
            <a:hlinkClick xmlns:r="http://schemas.openxmlformats.org/officeDocument/2006/relationships" r:id="rId4"/>
            <a:extLst>
              <a:ext uri="{FF2B5EF4-FFF2-40B4-BE49-F238E27FC236}">
                <a16:creationId xmlns:a16="http://schemas.microsoft.com/office/drawing/2014/main" id="{5292F605-BDAB-1184-E00F-A1F955189AD5}"/>
              </a:ext>
            </a:extLst>
          </xdr:cNvPr>
          <xdr:cNvSpPr>
            <a:spLocks/>
          </xdr:cNvSpPr>
        </xdr:nvSpPr>
        <xdr:spPr>
          <a:xfrm>
            <a:off x="4031272" y="47431"/>
            <a:ext cx="1217212" cy="201430"/>
          </a:xfrm>
          <a:prstGeom prst="roundRect">
            <a:avLst/>
          </a:prstGeom>
          <a:solidFill>
            <a:srgbClr val="E85E02"/>
          </a:solidFill>
          <a:ln>
            <a:solidFill>
              <a:srgbClr val="E85E02"/>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a:t>Cost</a:t>
            </a:r>
            <a:r>
              <a:rPr lang="en-US" sz="1100" baseline="0"/>
              <a:t> of Vacancy</a:t>
            </a:r>
            <a:endParaRPr lang="en-US" sz="1100"/>
          </a:p>
        </xdr:txBody>
      </xdr:sp>
      <xdr:sp macro="[0]!ROI_QUEST_PRINT" textlink="">
        <xdr:nvSpPr>
          <xdr:cNvPr id="12" name="Rectangle: Rounded Corners 11">
            <a:hlinkClick xmlns:r="http://schemas.openxmlformats.org/officeDocument/2006/relationships" r:id="rId5"/>
            <a:extLst>
              <a:ext uri="{FF2B5EF4-FFF2-40B4-BE49-F238E27FC236}">
                <a16:creationId xmlns:a16="http://schemas.microsoft.com/office/drawing/2014/main" id="{66DF3DB2-D97A-7F6D-DFE6-88AE509FB9D4}"/>
              </a:ext>
            </a:extLst>
          </xdr:cNvPr>
          <xdr:cNvSpPr>
            <a:spLocks/>
          </xdr:cNvSpPr>
        </xdr:nvSpPr>
        <xdr:spPr>
          <a:xfrm>
            <a:off x="5314919" y="47431"/>
            <a:ext cx="1212831" cy="201430"/>
          </a:xfrm>
          <a:prstGeom prst="roundRect">
            <a:avLst/>
          </a:prstGeom>
          <a:solidFill>
            <a:srgbClr val="E85E02"/>
          </a:solidFill>
          <a:ln>
            <a:solidFill>
              <a:srgbClr val="E85E02"/>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a:t>Cost</a:t>
            </a:r>
            <a:r>
              <a:rPr lang="en-US" sz="1100" baseline="0"/>
              <a:t> of Turnover</a:t>
            </a:r>
            <a:endParaRPr lang="en-US" sz="1100"/>
          </a:p>
        </xdr:txBody>
      </xdr:sp>
      <xdr:sp macro="[0]!ROI_QUEST_PRINT" textlink="">
        <xdr:nvSpPr>
          <xdr:cNvPr id="13" name="Rectangle: Rounded Corners 12">
            <a:hlinkClick xmlns:r="http://schemas.openxmlformats.org/officeDocument/2006/relationships" r:id="rId3"/>
            <a:extLst>
              <a:ext uri="{FF2B5EF4-FFF2-40B4-BE49-F238E27FC236}">
                <a16:creationId xmlns:a16="http://schemas.microsoft.com/office/drawing/2014/main" id="{96D5096F-81A5-F341-D58B-4F747074CF9C}"/>
              </a:ext>
            </a:extLst>
          </xdr:cNvPr>
          <xdr:cNvSpPr>
            <a:spLocks/>
          </xdr:cNvSpPr>
        </xdr:nvSpPr>
        <xdr:spPr>
          <a:xfrm>
            <a:off x="1503649" y="47431"/>
            <a:ext cx="1212330" cy="201430"/>
          </a:xfrm>
          <a:prstGeom prst="roundRect">
            <a:avLst/>
          </a:prstGeom>
          <a:solidFill>
            <a:srgbClr val="00B050"/>
          </a:solidFill>
          <a:ln>
            <a:solidFill>
              <a:srgbClr val="00B050"/>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a:t>Questionnaire</a:t>
            </a:r>
          </a:p>
        </xdr:txBody>
      </xdr:sp>
      <xdr:sp macro="[0]!ROI_QUEST_PRINT" textlink="">
        <xdr:nvSpPr>
          <xdr:cNvPr id="14" name="Rectangle: Rounded Corners 13">
            <a:hlinkClick xmlns:r="http://schemas.openxmlformats.org/officeDocument/2006/relationships" r:id="rId6"/>
            <a:extLst>
              <a:ext uri="{FF2B5EF4-FFF2-40B4-BE49-F238E27FC236}">
                <a16:creationId xmlns:a16="http://schemas.microsoft.com/office/drawing/2014/main" id="{8464A7DE-3979-CA67-12E5-4E9AA084E5D8}"/>
              </a:ext>
            </a:extLst>
          </xdr:cNvPr>
          <xdr:cNvSpPr>
            <a:spLocks/>
          </xdr:cNvSpPr>
        </xdr:nvSpPr>
        <xdr:spPr>
          <a:xfrm>
            <a:off x="2768929" y="47431"/>
            <a:ext cx="1208450" cy="201430"/>
          </a:xfrm>
          <a:prstGeom prst="roundRect">
            <a:avLst/>
          </a:prstGeom>
          <a:solidFill>
            <a:srgbClr val="00B050"/>
          </a:solidFill>
          <a:ln>
            <a:solidFill>
              <a:srgbClr val="00B050"/>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a:t>ROI Summary</a:t>
            </a:r>
          </a:p>
        </xdr:txBody>
      </xdr:sp>
      <xdr:sp macro="[0]!ROI_QUEST_PRINT" textlink="">
        <xdr:nvSpPr>
          <xdr:cNvPr id="15" name="Rectangle: Rounded Corners 14">
            <a:hlinkClick xmlns:r="http://schemas.openxmlformats.org/officeDocument/2006/relationships" r:id="rId7"/>
            <a:extLst>
              <a:ext uri="{FF2B5EF4-FFF2-40B4-BE49-F238E27FC236}">
                <a16:creationId xmlns:a16="http://schemas.microsoft.com/office/drawing/2014/main" id="{A249EF61-8A6B-9679-687E-C994A6370BD8}"/>
              </a:ext>
            </a:extLst>
          </xdr:cNvPr>
          <xdr:cNvSpPr>
            <a:spLocks/>
          </xdr:cNvSpPr>
        </xdr:nvSpPr>
        <xdr:spPr>
          <a:xfrm>
            <a:off x="6580685" y="47431"/>
            <a:ext cx="1221593" cy="201430"/>
          </a:xfrm>
          <a:prstGeom prst="roundRect">
            <a:avLst/>
          </a:prstGeom>
          <a:solidFill>
            <a:srgbClr val="E85E02"/>
          </a:solidFill>
          <a:ln>
            <a:solidFill>
              <a:srgbClr val="E85E02"/>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a:t>Subsidies</a:t>
            </a:r>
          </a:p>
        </xdr:txBody>
      </xdr:sp>
      <xdr:sp macro="[0]!ROI_QUEST_PRINT" textlink="">
        <xdr:nvSpPr>
          <xdr:cNvPr id="16" name="Rectangle: Rounded Corners 15">
            <a:hlinkClick xmlns:r="http://schemas.openxmlformats.org/officeDocument/2006/relationships" r:id="rId8"/>
            <a:extLst>
              <a:ext uri="{FF2B5EF4-FFF2-40B4-BE49-F238E27FC236}">
                <a16:creationId xmlns:a16="http://schemas.microsoft.com/office/drawing/2014/main" id="{53D0A310-BA9D-1316-3F60-8763521A0770}"/>
              </a:ext>
            </a:extLst>
          </xdr:cNvPr>
          <xdr:cNvSpPr>
            <a:spLocks noChangeAspect="1"/>
          </xdr:cNvSpPr>
        </xdr:nvSpPr>
        <xdr:spPr>
          <a:xfrm>
            <a:off x="7853112" y="47431"/>
            <a:ext cx="1217212" cy="192024"/>
          </a:xfrm>
          <a:prstGeom prst="roundRect">
            <a:avLst/>
          </a:prstGeom>
          <a:solidFill>
            <a:srgbClr val="E85E02"/>
          </a:solidFill>
          <a:ln>
            <a:solidFill>
              <a:srgbClr val="E85E02"/>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a:t>WOTC</a:t>
            </a:r>
          </a:p>
        </xdr:txBody>
      </xdr:sp>
      <xdr:sp macro="[0]!ROI_QUEST_PRINT" textlink="">
        <xdr:nvSpPr>
          <xdr:cNvPr id="17" name="Rectangle: Rounded Corners 16">
            <a:hlinkClick xmlns:r="http://schemas.openxmlformats.org/officeDocument/2006/relationships" r:id="rId9"/>
            <a:extLst>
              <a:ext uri="{FF2B5EF4-FFF2-40B4-BE49-F238E27FC236}">
                <a16:creationId xmlns:a16="http://schemas.microsoft.com/office/drawing/2014/main" id="{2FD8BC0A-739B-D8D5-06B2-F3D0FA00307C}"/>
              </a:ext>
            </a:extLst>
          </xdr:cNvPr>
          <xdr:cNvSpPr>
            <a:spLocks noChangeAspect="1"/>
          </xdr:cNvSpPr>
        </xdr:nvSpPr>
        <xdr:spPr>
          <a:xfrm>
            <a:off x="9119373" y="47625"/>
            <a:ext cx="1217212" cy="192024"/>
          </a:xfrm>
          <a:prstGeom prst="roundRect">
            <a:avLst/>
          </a:prstGeom>
          <a:solidFill>
            <a:srgbClr val="E85E02"/>
          </a:solidFill>
          <a:ln>
            <a:solidFill>
              <a:srgbClr val="E85E02"/>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a:t>FL EL Tax Credit</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1</xdr:row>
      <xdr:rowOff>276225</xdr:rowOff>
    </xdr:from>
    <xdr:to>
      <xdr:col>1</xdr:col>
      <xdr:colOff>1655915</xdr:colOff>
      <xdr:row>1</xdr:row>
      <xdr:rowOff>877961</xdr:rowOff>
    </xdr:to>
    <xdr:pic>
      <xdr:nvPicPr>
        <xdr:cNvPr id="42" name="Picture 41" descr="CareerSource Tampa Bay | Employment Services: Agencies, Consulting,  Coaching, Traini">
          <a:extLst>
            <a:ext uri="{FF2B5EF4-FFF2-40B4-BE49-F238E27FC236}">
              <a16:creationId xmlns:a16="http://schemas.microsoft.com/office/drawing/2014/main" id="{10C37C23-BD83-45F1-9122-B16F651B1856}"/>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817" b="8627"/>
        <a:stretch/>
      </xdr:blipFill>
      <xdr:spPr bwMode="auto">
        <a:xfrm>
          <a:off x="257175" y="590550"/>
          <a:ext cx="1646390" cy="6017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657225</xdr:colOff>
      <xdr:row>1</xdr:row>
      <xdr:rowOff>295275</xdr:rowOff>
    </xdr:from>
    <xdr:to>
      <xdr:col>8</xdr:col>
      <xdr:colOff>781050</xdr:colOff>
      <xdr:row>1</xdr:row>
      <xdr:rowOff>962025</xdr:rowOff>
    </xdr:to>
    <xdr:sp macro="" textlink="">
      <xdr:nvSpPr>
        <xdr:cNvPr id="43" name="TextBox 42">
          <a:extLst>
            <a:ext uri="{FF2B5EF4-FFF2-40B4-BE49-F238E27FC236}">
              <a16:creationId xmlns:a16="http://schemas.microsoft.com/office/drawing/2014/main" id="{2C9BC181-9FC2-45A8-9D54-1C37D4F8B8E4}"/>
            </a:ext>
          </a:extLst>
        </xdr:cNvPr>
        <xdr:cNvSpPr txBox="1"/>
      </xdr:nvSpPr>
      <xdr:spPr>
        <a:xfrm>
          <a:off x="3019425" y="457200"/>
          <a:ext cx="4552950" cy="666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u="sng">
              <a:solidFill>
                <a:srgbClr val="0056B4"/>
              </a:solidFill>
            </a:rPr>
            <a:t>RETURN ON INVESTMENT</a:t>
          </a:r>
          <a:r>
            <a:rPr lang="en-US" sz="1600" b="1" u="sng" baseline="0">
              <a:solidFill>
                <a:srgbClr val="0056B4"/>
              </a:solidFill>
            </a:rPr>
            <a:t> CALCULATOR</a:t>
          </a:r>
        </a:p>
        <a:p>
          <a:pPr algn="ctr"/>
          <a:r>
            <a:rPr lang="en-US" sz="1600" b="1" u="none" baseline="0">
              <a:solidFill>
                <a:srgbClr val="0056B4"/>
              </a:solidFill>
            </a:rPr>
            <a:t>ROI SUMMARY</a:t>
          </a:r>
        </a:p>
        <a:p>
          <a:pPr algn="ctr"/>
          <a:endParaRPr lang="en-US" sz="1600"/>
        </a:p>
      </xdr:txBody>
    </xdr:sp>
    <xdr:clientData/>
  </xdr:twoCellAnchor>
  <xdr:twoCellAnchor>
    <xdr:from>
      <xdr:col>1</xdr:col>
      <xdr:colOff>0</xdr:colOff>
      <xdr:row>0</xdr:row>
      <xdr:rowOff>47625</xdr:rowOff>
    </xdr:from>
    <xdr:to>
      <xdr:col>11</xdr:col>
      <xdr:colOff>731162</xdr:colOff>
      <xdr:row>0</xdr:row>
      <xdr:rowOff>257176</xdr:rowOff>
    </xdr:to>
    <xdr:grpSp>
      <xdr:nvGrpSpPr>
        <xdr:cNvPr id="23" name="Group 22">
          <a:extLst>
            <a:ext uri="{FF2B5EF4-FFF2-40B4-BE49-F238E27FC236}">
              <a16:creationId xmlns:a16="http://schemas.microsoft.com/office/drawing/2014/main" id="{33605BEF-5EAD-49BC-BA48-7FDE6C3C1082}"/>
            </a:ext>
          </a:extLst>
        </xdr:cNvPr>
        <xdr:cNvGrpSpPr/>
      </xdr:nvGrpSpPr>
      <xdr:grpSpPr>
        <a:xfrm>
          <a:off x="228600" y="47625"/>
          <a:ext cx="13199387" cy="209551"/>
          <a:chOff x="228875" y="47431"/>
          <a:chExt cx="10107710" cy="201430"/>
        </a:xfrm>
      </xdr:grpSpPr>
      <xdr:sp macro="" textlink="">
        <xdr:nvSpPr>
          <xdr:cNvPr id="24" name="Rectangle: Rounded Corners 23">
            <a:hlinkClick xmlns:r="http://schemas.openxmlformats.org/officeDocument/2006/relationships" r:id="rId2"/>
            <a:extLst>
              <a:ext uri="{FF2B5EF4-FFF2-40B4-BE49-F238E27FC236}">
                <a16:creationId xmlns:a16="http://schemas.microsoft.com/office/drawing/2014/main" id="{0083E6C5-1E65-C2A7-6161-F6A2CF8CBB6C}"/>
              </a:ext>
            </a:extLst>
          </xdr:cNvPr>
          <xdr:cNvSpPr>
            <a:spLocks/>
          </xdr:cNvSpPr>
        </xdr:nvSpPr>
        <xdr:spPr>
          <a:xfrm>
            <a:off x="228875" y="47431"/>
            <a:ext cx="1221593" cy="201048"/>
          </a:xfrm>
          <a:prstGeom prst="roundRect">
            <a:avLst/>
          </a:prstGeom>
          <a:solidFill>
            <a:srgbClr val="0070C0"/>
          </a:solidFill>
          <a:ln>
            <a:solidFill>
              <a:srgbClr val="0070C0"/>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a:t>Return to Top</a:t>
            </a:r>
          </a:p>
        </xdr:txBody>
      </xdr:sp>
      <xdr:sp macro="[0]!ROI_QUEST_PRINT" textlink="">
        <xdr:nvSpPr>
          <xdr:cNvPr id="25" name="Rectangle: Rounded Corners 24">
            <a:hlinkClick xmlns:r="http://schemas.openxmlformats.org/officeDocument/2006/relationships" r:id="rId3"/>
            <a:extLst>
              <a:ext uri="{FF2B5EF4-FFF2-40B4-BE49-F238E27FC236}">
                <a16:creationId xmlns:a16="http://schemas.microsoft.com/office/drawing/2014/main" id="{D5745ECD-8E50-4996-875E-2EAB675EC20D}"/>
              </a:ext>
            </a:extLst>
          </xdr:cNvPr>
          <xdr:cNvSpPr>
            <a:spLocks/>
          </xdr:cNvSpPr>
        </xdr:nvSpPr>
        <xdr:spPr>
          <a:xfrm>
            <a:off x="4031272" y="47431"/>
            <a:ext cx="1217212" cy="201430"/>
          </a:xfrm>
          <a:prstGeom prst="roundRect">
            <a:avLst/>
          </a:prstGeom>
          <a:solidFill>
            <a:srgbClr val="E85E02"/>
          </a:solidFill>
          <a:ln>
            <a:solidFill>
              <a:srgbClr val="E85E02"/>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a:t>Cost</a:t>
            </a:r>
            <a:r>
              <a:rPr lang="en-US" sz="1100" baseline="0"/>
              <a:t> of Vacancy</a:t>
            </a:r>
            <a:endParaRPr lang="en-US" sz="1100"/>
          </a:p>
        </xdr:txBody>
      </xdr:sp>
      <xdr:sp macro="[0]!ROI_QUEST_PRINT" textlink="">
        <xdr:nvSpPr>
          <xdr:cNvPr id="26" name="Rectangle: Rounded Corners 25">
            <a:hlinkClick xmlns:r="http://schemas.openxmlformats.org/officeDocument/2006/relationships" r:id="rId4"/>
            <a:extLst>
              <a:ext uri="{FF2B5EF4-FFF2-40B4-BE49-F238E27FC236}">
                <a16:creationId xmlns:a16="http://schemas.microsoft.com/office/drawing/2014/main" id="{C35480B6-22B6-6432-DEF4-E5510CF0898B}"/>
              </a:ext>
            </a:extLst>
          </xdr:cNvPr>
          <xdr:cNvSpPr>
            <a:spLocks/>
          </xdr:cNvSpPr>
        </xdr:nvSpPr>
        <xdr:spPr>
          <a:xfrm>
            <a:off x="5314919" y="47431"/>
            <a:ext cx="1212831" cy="201430"/>
          </a:xfrm>
          <a:prstGeom prst="roundRect">
            <a:avLst/>
          </a:prstGeom>
          <a:solidFill>
            <a:srgbClr val="E85E02"/>
          </a:solidFill>
          <a:ln>
            <a:solidFill>
              <a:srgbClr val="E85E02"/>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a:t>Cost</a:t>
            </a:r>
            <a:r>
              <a:rPr lang="en-US" sz="1100" baseline="0"/>
              <a:t> of Turnover</a:t>
            </a:r>
            <a:endParaRPr lang="en-US" sz="1100"/>
          </a:p>
        </xdr:txBody>
      </xdr:sp>
      <xdr:sp macro="[0]!ROI_QUEST_PRINT" textlink="">
        <xdr:nvSpPr>
          <xdr:cNvPr id="27" name="Rectangle: Rounded Corners 26">
            <a:hlinkClick xmlns:r="http://schemas.openxmlformats.org/officeDocument/2006/relationships" r:id="rId5"/>
            <a:extLst>
              <a:ext uri="{FF2B5EF4-FFF2-40B4-BE49-F238E27FC236}">
                <a16:creationId xmlns:a16="http://schemas.microsoft.com/office/drawing/2014/main" id="{4512BDF5-FF84-F3B8-431B-3B8FC0D877BD}"/>
              </a:ext>
            </a:extLst>
          </xdr:cNvPr>
          <xdr:cNvSpPr>
            <a:spLocks/>
          </xdr:cNvSpPr>
        </xdr:nvSpPr>
        <xdr:spPr>
          <a:xfrm>
            <a:off x="1503649" y="47431"/>
            <a:ext cx="1212330" cy="201430"/>
          </a:xfrm>
          <a:prstGeom prst="roundRect">
            <a:avLst/>
          </a:prstGeom>
          <a:solidFill>
            <a:srgbClr val="00B050"/>
          </a:solidFill>
          <a:ln>
            <a:solidFill>
              <a:srgbClr val="00B050"/>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a:t>Questionnaire</a:t>
            </a:r>
          </a:p>
        </xdr:txBody>
      </xdr:sp>
      <xdr:sp macro="[0]!ROI_QUEST_PRINT" textlink="">
        <xdr:nvSpPr>
          <xdr:cNvPr id="28" name="Rectangle: Rounded Corners 27">
            <a:hlinkClick xmlns:r="http://schemas.openxmlformats.org/officeDocument/2006/relationships" r:id="rId2"/>
            <a:extLst>
              <a:ext uri="{FF2B5EF4-FFF2-40B4-BE49-F238E27FC236}">
                <a16:creationId xmlns:a16="http://schemas.microsoft.com/office/drawing/2014/main" id="{F6F334C3-C238-AA82-5408-091D4151971B}"/>
              </a:ext>
            </a:extLst>
          </xdr:cNvPr>
          <xdr:cNvSpPr>
            <a:spLocks/>
          </xdr:cNvSpPr>
        </xdr:nvSpPr>
        <xdr:spPr>
          <a:xfrm>
            <a:off x="2768929" y="47431"/>
            <a:ext cx="1208450" cy="201430"/>
          </a:xfrm>
          <a:prstGeom prst="roundRect">
            <a:avLst/>
          </a:prstGeom>
          <a:solidFill>
            <a:srgbClr val="00B050"/>
          </a:solidFill>
          <a:ln>
            <a:solidFill>
              <a:srgbClr val="00B050"/>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a:t>ROI Summary</a:t>
            </a:r>
          </a:p>
        </xdr:txBody>
      </xdr:sp>
      <xdr:sp macro="[0]!ROI_QUEST_PRINT" textlink="">
        <xdr:nvSpPr>
          <xdr:cNvPr id="29" name="Rectangle: Rounded Corners 28">
            <a:hlinkClick xmlns:r="http://schemas.openxmlformats.org/officeDocument/2006/relationships" r:id="rId6"/>
            <a:extLst>
              <a:ext uri="{FF2B5EF4-FFF2-40B4-BE49-F238E27FC236}">
                <a16:creationId xmlns:a16="http://schemas.microsoft.com/office/drawing/2014/main" id="{54597748-45EC-9CA5-18B4-856EA842FFB0}"/>
              </a:ext>
            </a:extLst>
          </xdr:cNvPr>
          <xdr:cNvSpPr>
            <a:spLocks/>
          </xdr:cNvSpPr>
        </xdr:nvSpPr>
        <xdr:spPr>
          <a:xfrm>
            <a:off x="6580685" y="47431"/>
            <a:ext cx="1221593" cy="201430"/>
          </a:xfrm>
          <a:prstGeom prst="roundRect">
            <a:avLst/>
          </a:prstGeom>
          <a:solidFill>
            <a:srgbClr val="E85E02"/>
          </a:solidFill>
          <a:ln>
            <a:solidFill>
              <a:srgbClr val="E85E02"/>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a:t>Subsidies</a:t>
            </a:r>
          </a:p>
        </xdr:txBody>
      </xdr:sp>
      <xdr:sp macro="[0]!ROI_QUEST_PRINT" textlink="">
        <xdr:nvSpPr>
          <xdr:cNvPr id="30" name="Rectangle: Rounded Corners 29">
            <a:hlinkClick xmlns:r="http://schemas.openxmlformats.org/officeDocument/2006/relationships" r:id="rId7"/>
            <a:extLst>
              <a:ext uri="{FF2B5EF4-FFF2-40B4-BE49-F238E27FC236}">
                <a16:creationId xmlns:a16="http://schemas.microsoft.com/office/drawing/2014/main" id="{27CE8A9A-8727-E8E5-B484-83F2FDDD53D8}"/>
              </a:ext>
            </a:extLst>
          </xdr:cNvPr>
          <xdr:cNvSpPr>
            <a:spLocks noChangeAspect="1"/>
          </xdr:cNvSpPr>
        </xdr:nvSpPr>
        <xdr:spPr>
          <a:xfrm>
            <a:off x="7853112" y="47431"/>
            <a:ext cx="1217212" cy="192024"/>
          </a:xfrm>
          <a:prstGeom prst="roundRect">
            <a:avLst/>
          </a:prstGeom>
          <a:solidFill>
            <a:srgbClr val="E85E02"/>
          </a:solidFill>
          <a:ln>
            <a:solidFill>
              <a:srgbClr val="E85E02"/>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a:t>WOTC</a:t>
            </a:r>
          </a:p>
        </xdr:txBody>
      </xdr:sp>
      <xdr:sp macro="[0]!ROI_QUEST_PRINT" textlink="">
        <xdr:nvSpPr>
          <xdr:cNvPr id="31" name="Rectangle: Rounded Corners 30">
            <a:hlinkClick xmlns:r="http://schemas.openxmlformats.org/officeDocument/2006/relationships" r:id="rId8"/>
            <a:extLst>
              <a:ext uri="{FF2B5EF4-FFF2-40B4-BE49-F238E27FC236}">
                <a16:creationId xmlns:a16="http://schemas.microsoft.com/office/drawing/2014/main" id="{00F51531-C372-4CA2-8F8A-FDE15C1448B4}"/>
              </a:ext>
            </a:extLst>
          </xdr:cNvPr>
          <xdr:cNvSpPr>
            <a:spLocks noChangeAspect="1"/>
          </xdr:cNvSpPr>
        </xdr:nvSpPr>
        <xdr:spPr>
          <a:xfrm>
            <a:off x="9119373" y="47625"/>
            <a:ext cx="1217212" cy="192024"/>
          </a:xfrm>
          <a:prstGeom prst="roundRect">
            <a:avLst/>
          </a:prstGeom>
          <a:solidFill>
            <a:srgbClr val="E85E02"/>
          </a:solidFill>
          <a:ln>
            <a:solidFill>
              <a:srgbClr val="E85E02"/>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a:t>FL EL Tax Credit</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303139</xdr:rowOff>
    </xdr:from>
    <xdr:to>
      <xdr:col>1</xdr:col>
      <xdr:colOff>1646390</xdr:colOff>
      <xdr:row>2</xdr:row>
      <xdr:rowOff>0</xdr:rowOff>
    </xdr:to>
    <xdr:pic>
      <xdr:nvPicPr>
        <xdr:cNvPr id="2" name="Picture 1" descr="CareerSource Tampa Bay | Employment Services: Agencies, Consulting,  Coaching, Traini">
          <a:extLst>
            <a:ext uri="{FF2B5EF4-FFF2-40B4-BE49-F238E27FC236}">
              <a16:creationId xmlns:a16="http://schemas.microsoft.com/office/drawing/2014/main" id="{9140773C-DD65-4B90-91AC-0C9B0D15AE7E}"/>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817" b="8627"/>
        <a:stretch/>
      </xdr:blipFill>
      <xdr:spPr bwMode="auto">
        <a:xfrm>
          <a:off x="228600" y="617464"/>
          <a:ext cx="1641628" cy="6017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3000375</xdr:colOff>
      <xdr:row>1</xdr:row>
      <xdr:rowOff>228600</xdr:rowOff>
    </xdr:from>
    <xdr:to>
      <xdr:col>5</xdr:col>
      <xdr:colOff>0</xdr:colOff>
      <xdr:row>1</xdr:row>
      <xdr:rowOff>895350</xdr:rowOff>
    </xdr:to>
    <xdr:sp macro="" textlink="">
      <xdr:nvSpPr>
        <xdr:cNvPr id="12" name="TextBox 11">
          <a:extLst>
            <a:ext uri="{FF2B5EF4-FFF2-40B4-BE49-F238E27FC236}">
              <a16:creationId xmlns:a16="http://schemas.microsoft.com/office/drawing/2014/main" id="{14A308A6-5805-481D-BD49-AC7152F71C1E}"/>
            </a:ext>
          </a:extLst>
        </xdr:cNvPr>
        <xdr:cNvSpPr txBox="1"/>
      </xdr:nvSpPr>
      <xdr:spPr>
        <a:xfrm>
          <a:off x="3228975" y="542925"/>
          <a:ext cx="4105275" cy="666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u="sng">
              <a:solidFill>
                <a:srgbClr val="0056B4"/>
              </a:solidFill>
            </a:rPr>
            <a:t>RETURN ON INVESTMENT</a:t>
          </a:r>
          <a:r>
            <a:rPr lang="en-US" sz="1600" b="1" u="sng" baseline="0">
              <a:solidFill>
                <a:srgbClr val="0056B4"/>
              </a:solidFill>
            </a:rPr>
            <a:t> CALCULATOR</a:t>
          </a:r>
        </a:p>
        <a:p>
          <a:pPr algn="ctr"/>
          <a:r>
            <a:rPr lang="en-US" sz="1600" b="1" u="none" baseline="0">
              <a:solidFill>
                <a:srgbClr val="0056B4"/>
              </a:solidFill>
            </a:rPr>
            <a:t>ROI DETAILS</a:t>
          </a:r>
        </a:p>
        <a:p>
          <a:pPr algn="ctr"/>
          <a:endParaRPr lang="en-US" sz="1600"/>
        </a:p>
      </xdr:txBody>
    </xdr:sp>
    <xdr:clientData/>
  </xdr:twoCellAnchor>
  <xdr:twoCellAnchor>
    <xdr:from>
      <xdr:col>1</xdr:col>
      <xdr:colOff>0</xdr:colOff>
      <xdr:row>0</xdr:row>
      <xdr:rowOff>57150</xdr:rowOff>
    </xdr:from>
    <xdr:to>
      <xdr:col>26</xdr:col>
      <xdr:colOff>188237</xdr:colOff>
      <xdr:row>0</xdr:row>
      <xdr:rowOff>266701</xdr:rowOff>
    </xdr:to>
    <xdr:grpSp>
      <xdr:nvGrpSpPr>
        <xdr:cNvPr id="3" name="Group 2">
          <a:extLst>
            <a:ext uri="{FF2B5EF4-FFF2-40B4-BE49-F238E27FC236}">
              <a16:creationId xmlns:a16="http://schemas.microsoft.com/office/drawing/2014/main" id="{20BED425-8EC8-4E39-A824-F03C81A8BCB4}"/>
            </a:ext>
          </a:extLst>
        </xdr:cNvPr>
        <xdr:cNvGrpSpPr/>
      </xdr:nvGrpSpPr>
      <xdr:grpSpPr>
        <a:xfrm>
          <a:off x="228600" y="57150"/>
          <a:ext cx="25454887" cy="209551"/>
          <a:chOff x="228875" y="47431"/>
          <a:chExt cx="12637412" cy="201430"/>
        </a:xfrm>
      </xdr:grpSpPr>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DD5EC499-8794-ACA6-C897-B48ADC77018E}"/>
              </a:ext>
            </a:extLst>
          </xdr:cNvPr>
          <xdr:cNvSpPr>
            <a:spLocks/>
          </xdr:cNvSpPr>
        </xdr:nvSpPr>
        <xdr:spPr>
          <a:xfrm>
            <a:off x="228875" y="47431"/>
            <a:ext cx="1221593" cy="201048"/>
          </a:xfrm>
          <a:prstGeom prst="roundRect">
            <a:avLst/>
          </a:prstGeom>
          <a:solidFill>
            <a:srgbClr val="0070C0"/>
          </a:solidFill>
          <a:ln>
            <a:solidFill>
              <a:srgbClr val="0070C0"/>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a:t>Return to Top</a:t>
            </a:r>
          </a:p>
        </xdr:txBody>
      </xdr:sp>
      <xdr:sp macro="[0]!ROI_QUEST_PRINT" textlink="">
        <xdr:nvSpPr>
          <xdr:cNvPr id="5" name="Rectangle: Rounded Corners 4">
            <a:hlinkClick xmlns:r="http://schemas.openxmlformats.org/officeDocument/2006/relationships" r:id="rId2"/>
            <a:extLst>
              <a:ext uri="{FF2B5EF4-FFF2-40B4-BE49-F238E27FC236}">
                <a16:creationId xmlns:a16="http://schemas.microsoft.com/office/drawing/2014/main" id="{437C65CC-F265-DAB4-C504-E634A25033BF}"/>
              </a:ext>
            </a:extLst>
          </xdr:cNvPr>
          <xdr:cNvSpPr>
            <a:spLocks/>
          </xdr:cNvSpPr>
        </xdr:nvSpPr>
        <xdr:spPr>
          <a:xfrm>
            <a:off x="4027978" y="47431"/>
            <a:ext cx="1217212" cy="201430"/>
          </a:xfrm>
          <a:prstGeom prst="roundRect">
            <a:avLst/>
          </a:prstGeom>
          <a:solidFill>
            <a:srgbClr val="00B050"/>
          </a:solidFill>
          <a:ln>
            <a:solidFill>
              <a:srgbClr val="00B050"/>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a:t>ROI</a:t>
            </a:r>
            <a:r>
              <a:rPr lang="en-US" sz="1100" baseline="0"/>
              <a:t> Details</a:t>
            </a:r>
            <a:endParaRPr lang="en-US" sz="1100"/>
          </a:p>
        </xdr:txBody>
      </xdr:sp>
      <xdr:sp macro="[0]!ROI_QUEST_PRINT" textlink="">
        <xdr:nvSpPr>
          <xdr:cNvPr id="6" name="Rectangle: Rounded Corners 5">
            <a:hlinkClick xmlns:r="http://schemas.openxmlformats.org/officeDocument/2006/relationships" r:id="rId3"/>
            <a:extLst>
              <a:ext uri="{FF2B5EF4-FFF2-40B4-BE49-F238E27FC236}">
                <a16:creationId xmlns:a16="http://schemas.microsoft.com/office/drawing/2014/main" id="{B4FE965F-7B01-536F-CB1A-CA401EF3CC7E}"/>
              </a:ext>
            </a:extLst>
          </xdr:cNvPr>
          <xdr:cNvSpPr>
            <a:spLocks/>
          </xdr:cNvSpPr>
        </xdr:nvSpPr>
        <xdr:spPr>
          <a:xfrm>
            <a:off x="5296124" y="47431"/>
            <a:ext cx="1217212" cy="201430"/>
          </a:xfrm>
          <a:prstGeom prst="roundRect">
            <a:avLst/>
          </a:prstGeom>
          <a:solidFill>
            <a:srgbClr val="E85E02"/>
          </a:solidFill>
          <a:ln>
            <a:solidFill>
              <a:srgbClr val="E85E02"/>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a:t>Cost</a:t>
            </a:r>
            <a:r>
              <a:rPr lang="en-US" sz="1100" baseline="0"/>
              <a:t> of Vacancy</a:t>
            </a:r>
            <a:endParaRPr lang="en-US" sz="1100"/>
          </a:p>
        </xdr:txBody>
      </xdr:sp>
      <xdr:sp macro="[0]!ROI_QUEST_PRINT" textlink="">
        <xdr:nvSpPr>
          <xdr:cNvPr id="7" name="Rectangle: Rounded Corners 6">
            <a:hlinkClick xmlns:r="http://schemas.openxmlformats.org/officeDocument/2006/relationships" r:id="rId4"/>
            <a:extLst>
              <a:ext uri="{FF2B5EF4-FFF2-40B4-BE49-F238E27FC236}">
                <a16:creationId xmlns:a16="http://schemas.microsoft.com/office/drawing/2014/main" id="{865D1429-F732-143C-057F-655A07DC7B69}"/>
              </a:ext>
            </a:extLst>
          </xdr:cNvPr>
          <xdr:cNvSpPr>
            <a:spLocks/>
          </xdr:cNvSpPr>
        </xdr:nvSpPr>
        <xdr:spPr>
          <a:xfrm>
            <a:off x="6572273" y="47431"/>
            <a:ext cx="1217212" cy="201430"/>
          </a:xfrm>
          <a:prstGeom prst="roundRect">
            <a:avLst/>
          </a:prstGeom>
          <a:solidFill>
            <a:srgbClr val="E85E02"/>
          </a:solidFill>
          <a:ln>
            <a:solidFill>
              <a:srgbClr val="E85E02"/>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a:t>Cost</a:t>
            </a:r>
            <a:r>
              <a:rPr lang="en-US" sz="1100" baseline="0"/>
              <a:t> Per Hire</a:t>
            </a:r>
            <a:endParaRPr lang="en-US" sz="1100"/>
          </a:p>
        </xdr:txBody>
      </xdr:sp>
      <xdr:sp macro="[0]!ROI_QUEST_PRINT" textlink="">
        <xdr:nvSpPr>
          <xdr:cNvPr id="8" name="Rectangle: Rounded Corners 7">
            <a:hlinkClick xmlns:r="http://schemas.openxmlformats.org/officeDocument/2006/relationships" r:id="rId5"/>
            <a:extLst>
              <a:ext uri="{FF2B5EF4-FFF2-40B4-BE49-F238E27FC236}">
                <a16:creationId xmlns:a16="http://schemas.microsoft.com/office/drawing/2014/main" id="{EDA96602-14CF-75CE-3E1E-39134B1C9361}"/>
              </a:ext>
            </a:extLst>
          </xdr:cNvPr>
          <xdr:cNvSpPr>
            <a:spLocks/>
          </xdr:cNvSpPr>
        </xdr:nvSpPr>
        <xdr:spPr>
          <a:xfrm>
            <a:off x="7844622" y="47431"/>
            <a:ext cx="1212831" cy="201430"/>
          </a:xfrm>
          <a:prstGeom prst="roundRect">
            <a:avLst/>
          </a:prstGeom>
          <a:solidFill>
            <a:srgbClr val="E85E02"/>
          </a:solidFill>
          <a:ln>
            <a:solidFill>
              <a:srgbClr val="E85E02"/>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a:t>Cost</a:t>
            </a:r>
            <a:r>
              <a:rPr lang="en-US" sz="1100" baseline="0"/>
              <a:t> of Turnover</a:t>
            </a:r>
            <a:endParaRPr lang="en-US" sz="1100"/>
          </a:p>
        </xdr:txBody>
      </xdr:sp>
      <xdr:sp macro="[0]!ROI_QUEST_PRINT" textlink="">
        <xdr:nvSpPr>
          <xdr:cNvPr id="9" name="Rectangle: Rounded Corners 8">
            <a:hlinkClick xmlns:r="http://schemas.openxmlformats.org/officeDocument/2006/relationships" r:id="rId6"/>
            <a:extLst>
              <a:ext uri="{FF2B5EF4-FFF2-40B4-BE49-F238E27FC236}">
                <a16:creationId xmlns:a16="http://schemas.microsoft.com/office/drawing/2014/main" id="{DD44BF39-6465-B36E-F138-772C13B77092}"/>
              </a:ext>
            </a:extLst>
          </xdr:cNvPr>
          <xdr:cNvSpPr>
            <a:spLocks/>
          </xdr:cNvSpPr>
        </xdr:nvSpPr>
        <xdr:spPr>
          <a:xfrm>
            <a:off x="1503649" y="47431"/>
            <a:ext cx="1212330" cy="201430"/>
          </a:xfrm>
          <a:prstGeom prst="roundRect">
            <a:avLst/>
          </a:prstGeom>
          <a:solidFill>
            <a:srgbClr val="00B050"/>
          </a:solidFill>
          <a:ln>
            <a:solidFill>
              <a:srgbClr val="00B050"/>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a:t>Questionnaire</a:t>
            </a:r>
          </a:p>
        </xdr:txBody>
      </xdr:sp>
      <xdr:sp macro="[0]!ROI_QUEST_PRINT" textlink="">
        <xdr:nvSpPr>
          <xdr:cNvPr id="10" name="Rectangle: Rounded Corners 9">
            <a:hlinkClick xmlns:r="http://schemas.openxmlformats.org/officeDocument/2006/relationships" r:id="rId7"/>
            <a:extLst>
              <a:ext uri="{FF2B5EF4-FFF2-40B4-BE49-F238E27FC236}">
                <a16:creationId xmlns:a16="http://schemas.microsoft.com/office/drawing/2014/main" id="{04194393-8DE5-9CEA-377F-2A83A8402460}"/>
              </a:ext>
            </a:extLst>
          </xdr:cNvPr>
          <xdr:cNvSpPr>
            <a:spLocks/>
          </xdr:cNvSpPr>
        </xdr:nvSpPr>
        <xdr:spPr>
          <a:xfrm>
            <a:off x="2768929" y="47431"/>
            <a:ext cx="1208450" cy="201430"/>
          </a:xfrm>
          <a:prstGeom prst="roundRect">
            <a:avLst/>
          </a:prstGeom>
          <a:solidFill>
            <a:srgbClr val="00B050"/>
          </a:solidFill>
          <a:ln>
            <a:solidFill>
              <a:srgbClr val="00B050"/>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a:t>ROI Summary</a:t>
            </a:r>
          </a:p>
        </xdr:txBody>
      </xdr:sp>
      <xdr:sp macro="[0]!ROI_QUEST_PRINT" textlink="">
        <xdr:nvSpPr>
          <xdr:cNvPr id="11" name="Rectangle: Rounded Corners 10">
            <a:hlinkClick xmlns:r="http://schemas.openxmlformats.org/officeDocument/2006/relationships" r:id="rId8"/>
            <a:extLst>
              <a:ext uri="{FF2B5EF4-FFF2-40B4-BE49-F238E27FC236}">
                <a16:creationId xmlns:a16="http://schemas.microsoft.com/office/drawing/2014/main" id="{BAC094D6-EE09-2508-5282-7633E5C683DB}"/>
              </a:ext>
            </a:extLst>
          </xdr:cNvPr>
          <xdr:cNvSpPr>
            <a:spLocks/>
          </xdr:cNvSpPr>
        </xdr:nvSpPr>
        <xdr:spPr>
          <a:xfrm>
            <a:off x="9110389" y="47431"/>
            <a:ext cx="1221593" cy="201430"/>
          </a:xfrm>
          <a:prstGeom prst="roundRect">
            <a:avLst/>
          </a:prstGeom>
          <a:solidFill>
            <a:srgbClr val="E85E02"/>
          </a:solidFill>
          <a:ln>
            <a:solidFill>
              <a:srgbClr val="E85E02"/>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a:t>Subsidies</a:t>
            </a:r>
          </a:p>
        </xdr:txBody>
      </xdr:sp>
      <xdr:sp macro="[0]!ROI_QUEST_PRINT" textlink="">
        <xdr:nvSpPr>
          <xdr:cNvPr id="13" name="Rectangle: Rounded Corners 12">
            <a:hlinkClick xmlns:r="http://schemas.openxmlformats.org/officeDocument/2006/relationships" r:id="rId9"/>
            <a:extLst>
              <a:ext uri="{FF2B5EF4-FFF2-40B4-BE49-F238E27FC236}">
                <a16:creationId xmlns:a16="http://schemas.microsoft.com/office/drawing/2014/main" id="{13BF90B9-D63B-69B6-9223-6A1953B2431A}"/>
              </a:ext>
            </a:extLst>
          </xdr:cNvPr>
          <xdr:cNvSpPr>
            <a:spLocks noChangeAspect="1"/>
          </xdr:cNvSpPr>
        </xdr:nvSpPr>
        <xdr:spPr>
          <a:xfrm>
            <a:off x="10382815" y="47431"/>
            <a:ext cx="1217212" cy="192024"/>
          </a:xfrm>
          <a:prstGeom prst="roundRect">
            <a:avLst/>
          </a:prstGeom>
          <a:solidFill>
            <a:srgbClr val="E85E02"/>
          </a:solidFill>
          <a:ln>
            <a:solidFill>
              <a:srgbClr val="E85E02"/>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a:t>WOTC</a:t>
            </a:r>
          </a:p>
        </xdr:txBody>
      </xdr:sp>
      <xdr:sp macro="[0]!ROI_QUEST_PRINT" textlink="">
        <xdr:nvSpPr>
          <xdr:cNvPr id="14" name="Rectangle: Rounded Corners 13">
            <a:hlinkClick xmlns:r="http://schemas.openxmlformats.org/officeDocument/2006/relationships" r:id="rId10"/>
            <a:extLst>
              <a:ext uri="{FF2B5EF4-FFF2-40B4-BE49-F238E27FC236}">
                <a16:creationId xmlns:a16="http://schemas.microsoft.com/office/drawing/2014/main" id="{C3EBE613-2E75-C5D6-3F4F-48313DF0F9CC}"/>
              </a:ext>
            </a:extLst>
          </xdr:cNvPr>
          <xdr:cNvSpPr>
            <a:spLocks noChangeAspect="1"/>
          </xdr:cNvSpPr>
        </xdr:nvSpPr>
        <xdr:spPr>
          <a:xfrm>
            <a:off x="11649075" y="47625"/>
            <a:ext cx="1217212" cy="192024"/>
          </a:xfrm>
          <a:prstGeom prst="roundRect">
            <a:avLst/>
          </a:prstGeom>
          <a:solidFill>
            <a:srgbClr val="E85E02"/>
          </a:solidFill>
          <a:ln>
            <a:solidFill>
              <a:srgbClr val="E85E02"/>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a:t>FL EL Tax Credit</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303139</xdr:rowOff>
    </xdr:from>
    <xdr:to>
      <xdr:col>2</xdr:col>
      <xdr:colOff>1408265</xdr:colOff>
      <xdr:row>2</xdr:row>
      <xdr:rowOff>0</xdr:rowOff>
    </xdr:to>
    <xdr:pic>
      <xdr:nvPicPr>
        <xdr:cNvPr id="6" name="Picture 5" descr="CareerSource Tampa Bay | Employment Services: Agencies, Consulting,  Coaching, Traini">
          <a:extLst>
            <a:ext uri="{FF2B5EF4-FFF2-40B4-BE49-F238E27FC236}">
              <a16:creationId xmlns:a16="http://schemas.microsoft.com/office/drawing/2014/main" id="{784CF686-F5B7-403B-B33E-6F2BECC0E7DA}"/>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817" b="8627"/>
        <a:stretch/>
      </xdr:blipFill>
      <xdr:spPr bwMode="auto">
        <a:xfrm>
          <a:off x="228600" y="617464"/>
          <a:ext cx="1641628" cy="6017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1495425</xdr:colOff>
      <xdr:row>1</xdr:row>
      <xdr:rowOff>238125</xdr:rowOff>
    </xdr:from>
    <xdr:to>
      <xdr:col>4</xdr:col>
      <xdr:colOff>0</xdr:colOff>
      <xdr:row>2</xdr:row>
      <xdr:rowOff>0</xdr:rowOff>
    </xdr:to>
    <xdr:sp macro="" textlink="">
      <xdr:nvSpPr>
        <xdr:cNvPr id="7" name="TextBox 6">
          <a:extLst>
            <a:ext uri="{FF2B5EF4-FFF2-40B4-BE49-F238E27FC236}">
              <a16:creationId xmlns:a16="http://schemas.microsoft.com/office/drawing/2014/main" id="{6FD33DB0-EC71-4F95-BF45-4ECF4C5935DB}"/>
            </a:ext>
          </a:extLst>
        </xdr:cNvPr>
        <xdr:cNvSpPr txBox="1"/>
      </xdr:nvSpPr>
      <xdr:spPr>
        <a:xfrm>
          <a:off x="2028825" y="552450"/>
          <a:ext cx="4105275" cy="666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u="sng">
              <a:solidFill>
                <a:srgbClr val="0056B4"/>
              </a:solidFill>
            </a:rPr>
            <a:t>RETURN ON INVESTMENT</a:t>
          </a:r>
          <a:r>
            <a:rPr lang="en-US" sz="1600" b="1" u="sng" baseline="0">
              <a:solidFill>
                <a:srgbClr val="0056B4"/>
              </a:solidFill>
            </a:rPr>
            <a:t> CALCULATOR</a:t>
          </a:r>
        </a:p>
        <a:p>
          <a:pPr algn="ctr"/>
          <a:r>
            <a:rPr lang="en-US" sz="1600" b="1" u="none" baseline="0">
              <a:solidFill>
                <a:srgbClr val="0056B4"/>
              </a:solidFill>
            </a:rPr>
            <a:t>COST OF VACANCY</a:t>
          </a:r>
        </a:p>
        <a:p>
          <a:pPr algn="ctr"/>
          <a:endParaRPr lang="en-US" sz="1600"/>
        </a:p>
      </xdr:txBody>
    </xdr:sp>
    <xdr:clientData/>
  </xdr:twoCellAnchor>
  <xdr:twoCellAnchor>
    <xdr:from>
      <xdr:col>1</xdr:col>
      <xdr:colOff>0</xdr:colOff>
      <xdr:row>0</xdr:row>
      <xdr:rowOff>57150</xdr:rowOff>
    </xdr:from>
    <xdr:to>
      <xdr:col>7</xdr:col>
      <xdr:colOff>2169437</xdr:colOff>
      <xdr:row>0</xdr:row>
      <xdr:rowOff>266701</xdr:rowOff>
    </xdr:to>
    <xdr:grpSp>
      <xdr:nvGrpSpPr>
        <xdr:cNvPr id="25" name="Group 24">
          <a:extLst>
            <a:ext uri="{FF2B5EF4-FFF2-40B4-BE49-F238E27FC236}">
              <a16:creationId xmlns:a16="http://schemas.microsoft.com/office/drawing/2014/main" id="{1E6DA8AB-9158-4CED-9FA3-2DE5EE2A99D6}"/>
            </a:ext>
          </a:extLst>
        </xdr:cNvPr>
        <xdr:cNvGrpSpPr/>
      </xdr:nvGrpSpPr>
      <xdr:grpSpPr>
        <a:xfrm>
          <a:off x="228600" y="57150"/>
          <a:ext cx="10246637" cy="209551"/>
          <a:chOff x="228875" y="47431"/>
          <a:chExt cx="10107710" cy="201430"/>
        </a:xfrm>
      </xdr:grpSpPr>
      <xdr:sp macro="" textlink="">
        <xdr:nvSpPr>
          <xdr:cNvPr id="26" name="Rectangle: Rounded Corners 25">
            <a:hlinkClick xmlns:r="http://schemas.openxmlformats.org/officeDocument/2006/relationships" r:id="rId2"/>
            <a:extLst>
              <a:ext uri="{FF2B5EF4-FFF2-40B4-BE49-F238E27FC236}">
                <a16:creationId xmlns:a16="http://schemas.microsoft.com/office/drawing/2014/main" id="{C7F49D8F-B09D-CEA1-245D-922A3CEED723}"/>
              </a:ext>
            </a:extLst>
          </xdr:cNvPr>
          <xdr:cNvSpPr>
            <a:spLocks/>
          </xdr:cNvSpPr>
        </xdr:nvSpPr>
        <xdr:spPr>
          <a:xfrm>
            <a:off x="228875" y="47431"/>
            <a:ext cx="1221593" cy="201048"/>
          </a:xfrm>
          <a:prstGeom prst="roundRect">
            <a:avLst/>
          </a:prstGeom>
          <a:solidFill>
            <a:srgbClr val="0070C0"/>
          </a:solidFill>
          <a:ln>
            <a:solidFill>
              <a:srgbClr val="0070C0"/>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a:t>Return to Top</a:t>
            </a:r>
          </a:p>
        </xdr:txBody>
      </xdr:sp>
      <xdr:sp macro="[0]!ROI_QUEST_PRINT" textlink="">
        <xdr:nvSpPr>
          <xdr:cNvPr id="27" name="Rectangle: Rounded Corners 26">
            <a:hlinkClick xmlns:r="http://schemas.openxmlformats.org/officeDocument/2006/relationships" r:id="rId2"/>
            <a:extLst>
              <a:ext uri="{FF2B5EF4-FFF2-40B4-BE49-F238E27FC236}">
                <a16:creationId xmlns:a16="http://schemas.microsoft.com/office/drawing/2014/main" id="{0AF932E1-2DF0-5D6A-7AF5-483629576CB9}"/>
              </a:ext>
            </a:extLst>
          </xdr:cNvPr>
          <xdr:cNvSpPr>
            <a:spLocks/>
          </xdr:cNvSpPr>
        </xdr:nvSpPr>
        <xdr:spPr>
          <a:xfrm>
            <a:off x="4031272" y="47431"/>
            <a:ext cx="1217212" cy="201430"/>
          </a:xfrm>
          <a:prstGeom prst="roundRect">
            <a:avLst/>
          </a:prstGeom>
          <a:solidFill>
            <a:srgbClr val="E85E02"/>
          </a:solidFill>
          <a:ln>
            <a:solidFill>
              <a:srgbClr val="E85E02"/>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a:t>Cost</a:t>
            </a:r>
            <a:r>
              <a:rPr lang="en-US" sz="1100" baseline="0"/>
              <a:t> of Vacancy</a:t>
            </a:r>
            <a:endParaRPr lang="en-US" sz="1100"/>
          </a:p>
        </xdr:txBody>
      </xdr:sp>
      <xdr:sp macro="[0]!ROI_QUEST_PRINT" textlink="">
        <xdr:nvSpPr>
          <xdr:cNvPr id="28" name="Rectangle: Rounded Corners 27">
            <a:hlinkClick xmlns:r="http://schemas.openxmlformats.org/officeDocument/2006/relationships" r:id="rId3"/>
            <a:extLst>
              <a:ext uri="{FF2B5EF4-FFF2-40B4-BE49-F238E27FC236}">
                <a16:creationId xmlns:a16="http://schemas.microsoft.com/office/drawing/2014/main" id="{C4584D0E-ED4B-20CA-4BD6-62FABE4ADA5D}"/>
              </a:ext>
            </a:extLst>
          </xdr:cNvPr>
          <xdr:cNvSpPr>
            <a:spLocks/>
          </xdr:cNvSpPr>
        </xdr:nvSpPr>
        <xdr:spPr>
          <a:xfrm>
            <a:off x="5314919" y="47431"/>
            <a:ext cx="1212831" cy="201430"/>
          </a:xfrm>
          <a:prstGeom prst="roundRect">
            <a:avLst/>
          </a:prstGeom>
          <a:solidFill>
            <a:srgbClr val="E85E02"/>
          </a:solidFill>
          <a:ln>
            <a:solidFill>
              <a:srgbClr val="E85E02"/>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a:t>Cost</a:t>
            </a:r>
            <a:r>
              <a:rPr lang="en-US" sz="1100" baseline="0"/>
              <a:t> of Turnover</a:t>
            </a:r>
            <a:endParaRPr lang="en-US" sz="1100"/>
          </a:p>
        </xdr:txBody>
      </xdr:sp>
      <xdr:sp macro="[0]!ROI_QUEST_PRINT" textlink="">
        <xdr:nvSpPr>
          <xdr:cNvPr id="29" name="Rectangle: Rounded Corners 28">
            <a:hlinkClick xmlns:r="http://schemas.openxmlformats.org/officeDocument/2006/relationships" r:id="rId4"/>
            <a:extLst>
              <a:ext uri="{FF2B5EF4-FFF2-40B4-BE49-F238E27FC236}">
                <a16:creationId xmlns:a16="http://schemas.microsoft.com/office/drawing/2014/main" id="{4143C4E6-2D89-E838-2997-2DB66D248FBB}"/>
              </a:ext>
            </a:extLst>
          </xdr:cNvPr>
          <xdr:cNvSpPr>
            <a:spLocks/>
          </xdr:cNvSpPr>
        </xdr:nvSpPr>
        <xdr:spPr>
          <a:xfrm>
            <a:off x="1503649" y="47431"/>
            <a:ext cx="1212330" cy="201430"/>
          </a:xfrm>
          <a:prstGeom prst="roundRect">
            <a:avLst/>
          </a:prstGeom>
          <a:solidFill>
            <a:srgbClr val="00B050"/>
          </a:solidFill>
          <a:ln>
            <a:solidFill>
              <a:srgbClr val="00B050"/>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a:t>Questionnaire</a:t>
            </a:r>
          </a:p>
        </xdr:txBody>
      </xdr:sp>
      <xdr:sp macro="[0]!ROI_QUEST_PRINT" textlink="">
        <xdr:nvSpPr>
          <xdr:cNvPr id="30" name="Rectangle: Rounded Corners 29">
            <a:hlinkClick xmlns:r="http://schemas.openxmlformats.org/officeDocument/2006/relationships" r:id="rId5"/>
            <a:extLst>
              <a:ext uri="{FF2B5EF4-FFF2-40B4-BE49-F238E27FC236}">
                <a16:creationId xmlns:a16="http://schemas.microsoft.com/office/drawing/2014/main" id="{D0CDC0DA-CC97-95C1-20FF-717C21823ED4}"/>
              </a:ext>
            </a:extLst>
          </xdr:cNvPr>
          <xdr:cNvSpPr>
            <a:spLocks/>
          </xdr:cNvSpPr>
        </xdr:nvSpPr>
        <xdr:spPr>
          <a:xfrm>
            <a:off x="2768929" y="47431"/>
            <a:ext cx="1208450" cy="201430"/>
          </a:xfrm>
          <a:prstGeom prst="roundRect">
            <a:avLst/>
          </a:prstGeom>
          <a:solidFill>
            <a:srgbClr val="00B050"/>
          </a:solidFill>
          <a:ln>
            <a:solidFill>
              <a:srgbClr val="00B050"/>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a:t>ROI Summary</a:t>
            </a:r>
          </a:p>
        </xdr:txBody>
      </xdr:sp>
      <xdr:sp macro="[0]!ROI_QUEST_PRINT" textlink="">
        <xdr:nvSpPr>
          <xdr:cNvPr id="31" name="Rectangle: Rounded Corners 30">
            <a:hlinkClick xmlns:r="http://schemas.openxmlformats.org/officeDocument/2006/relationships" r:id="rId6"/>
            <a:extLst>
              <a:ext uri="{FF2B5EF4-FFF2-40B4-BE49-F238E27FC236}">
                <a16:creationId xmlns:a16="http://schemas.microsoft.com/office/drawing/2014/main" id="{97E6AE66-DB7E-0B56-9B44-DEED919A3FD4}"/>
              </a:ext>
            </a:extLst>
          </xdr:cNvPr>
          <xdr:cNvSpPr>
            <a:spLocks/>
          </xdr:cNvSpPr>
        </xdr:nvSpPr>
        <xdr:spPr>
          <a:xfrm>
            <a:off x="6580685" y="47431"/>
            <a:ext cx="1221593" cy="201430"/>
          </a:xfrm>
          <a:prstGeom prst="roundRect">
            <a:avLst/>
          </a:prstGeom>
          <a:solidFill>
            <a:srgbClr val="E85E02"/>
          </a:solidFill>
          <a:ln>
            <a:solidFill>
              <a:srgbClr val="E85E02"/>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a:t>Subsidies</a:t>
            </a:r>
          </a:p>
        </xdr:txBody>
      </xdr:sp>
      <xdr:sp macro="[0]!ROI_QUEST_PRINT" textlink="">
        <xdr:nvSpPr>
          <xdr:cNvPr id="32" name="Rectangle: Rounded Corners 31">
            <a:hlinkClick xmlns:r="http://schemas.openxmlformats.org/officeDocument/2006/relationships" r:id="rId7"/>
            <a:extLst>
              <a:ext uri="{FF2B5EF4-FFF2-40B4-BE49-F238E27FC236}">
                <a16:creationId xmlns:a16="http://schemas.microsoft.com/office/drawing/2014/main" id="{4DE84D6F-DE09-F269-0335-10A25D98D6DF}"/>
              </a:ext>
            </a:extLst>
          </xdr:cNvPr>
          <xdr:cNvSpPr>
            <a:spLocks noChangeAspect="1"/>
          </xdr:cNvSpPr>
        </xdr:nvSpPr>
        <xdr:spPr>
          <a:xfrm>
            <a:off x="7853112" y="47431"/>
            <a:ext cx="1217212" cy="192024"/>
          </a:xfrm>
          <a:prstGeom prst="roundRect">
            <a:avLst/>
          </a:prstGeom>
          <a:solidFill>
            <a:srgbClr val="E85E02"/>
          </a:solidFill>
          <a:ln>
            <a:solidFill>
              <a:srgbClr val="E85E02"/>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a:t>WOTC</a:t>
            </a:r>
          </a:p>
        </xdr:txBody>
      </xdr:sp>
      <xdr:sp macro="[0]!ROI_QUEST_PRINT" textlink="">
        <xdr:nvSpPr>
          <xdr:cNvPr id="33" name="Rectangle: Rounded Corners 32">
            <a:hlinkClick xmlns:r="http://schemas.openxmlformats.org/officeDocument/2006/relationships" r:id="rId8"/>
            <a:extLst>
              <a:ext uri="{FF2B5EF4-FFF2-40B4-BE49-F238E27FC236}">
                <a16:creationId xmlns:a16="http://schemas.microsoft.com/office/drawing/2014/main" id="{3CD8D1C1-F35F-E6A6-F3DE-4ABD66146D52}"/>
              </a:ext>
            </a:extLst>
          </xdr:cNvPr>
          <xdr:cNvSpPr>
            <a:spLocks noChangeAspect="1"/>
          </xdr:cNvSpPr>
        </xdr:nvSpPr>
        <xdr:spPr>
          <a:xfrm>
            <a:off x="9119373" y="47625"/>
            <a:ext cx="1217212" cy="192024"/>
          </a:xfrm>
          <a:prstGeom prst="roundRect">
            <a:avLst/>
          </a:prstGeom>
          <a:solidFill>
            <a:srgbClr val="E85E02"/>
          </a:solidFill>
          <a:ln>
            <a:solidFill>
              <a:srgbClr val="E85E02"/>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a:t>FL EL Tax Credit</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303139</xdr:rowOff>
    </xdr:from>
    <xdr:to>
      <xdr:col>2</xdr:col>
      <xdr:colOff>1408265</xdr:colOff>
      <xdr:row>2</xdr:row>
      <xdr:rowOff>0</xdr:rowOff>
    </xdr:to>
    <xdr:pic>
      <xdr:nvPicPr>
        <xdr:cNvPr id="2" name="Picture 1" descr="CareerSource Tampa Bay | Employment Services: Agencies, Consulting,  Coaching, Traini">
          <a:extLst>
            <a:ext uri="{FF2B5EF4-FFF2-40B4-BE49-F238E27FC236}">
              <a16:creationId xmlns:a16="http://schemas.microsoft.com/office/drawing/2014/main" id="{11E48820-0BD1-4103-8BE9-C14BAB443D1A}"/>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817" b="8627"/>
        <a:stretch/>
      </xdr:blipFill>
      <xdr:spPr bwMode="auto">
        <a:xfrm>
          <a:off x="228600" y="617464"/>
          <a:ext cx="1641628" cy="6017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1809750</xdr:colOff>
      <xdr:row>1</xdr:row>
      <xdr:rowOff>238125</xdr:rowOff>
    </xdr:from>
    <xdr:to>
      <xdr:col>5</xdr:col>
      <xdr:colOff>0</xdr:colOff>
      <xdr:row>2</xdr:row>
      <xdr:rowOff>0</xdr:rowOff>
    </xdr:to>
    <xdr:sp macro="" textlink="">
      <xdr:nvSpPr>
        <xdr:cNvPr id="22" name="TextBox 21">
          <a:extLst>
            <a:ext uri="{FF2B5EF4-FFF2-40B4-BE49-F238E27FC236}">
              <a16:creationId xmlns:a16="http://schemas.microsoft.com/office/drawing/2014/main" id="{A2738ED1-D1A6-4470-8B33-0F974C06DB6C}"/>
            </a:ext>
          </a:extLst>
        </xdr:cNvPr>
        <xdr:cNvSpPr txBox="1"/>
      </xdr:nvSpPr>
      <xdr:spPr>
        <a:xfrm>
          <a:off x="2276475" y="552450"/>
          <a:ext cx="5534025" cy="666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u="sng">
              <a:solidFill>
                <a:srgbClr val="0056B4"/>
              </a:solidFill>
            </a:rPr>
            <a:t>RETURN ON INVESTMENT</a:t>
          </a:r>
          <a:r>
            <a:rPr lang="en-US" sz="1600" b="1" u="sng" baseline="0">
              <a:solidFill>
                <a:srgbClr val="0056B4"/>
              </a:solidFill>
            </a:rPr>
            <a:t> CALCULATOR</a:t>
          </a:r>
        </a:p>
        <a:p>
          <a:pPr algn="ctr"/>
          <a:r>
            <a:rPr lang="en-US" sz="1600" b="1" u="none" baseline="0">
              <a:solidFill>
                <a:srgbClr val="0056B4"/>
              </a:solidFill>
            </a:rPr>
            <a:t>COST PER HIRE</a:t>
          </a:r>
        </a:p>
        <a:p>
          <a:pPr algn="ctr"/>
          <a:endParaRPr lang="en-US" sz="1600"/>
        </a:p>
      </xdr:txBody>
    </xdr:sp>
    <xdr:clientData/>
  </xdr:twoCellAnchor>
  <xdr:twoCellAnchor>
    <xdr:from>
      <xdr:col>1</xdr:col>
      <xdr:colOff>0</xdr:colOff>
      <xdr:row>0</xdr:row>
      <xdr:rowOff>57150</xdr:rowOff>
    </xdr:from>
    <xdr:to>
      <xdr:col>8</xdr:col>
      <xdr:colOff>16787</xdr:colOff>
      <xdr:row>0</xdr:row>
      <xdr:rowOff>266701</xdr:rowOff>
    </xdr:to>
    <xdr:grpSp>
      <xdr:nvGrpSpPr>
        <xdr:cNvPr id="55" name="Group 54">
          <a:extLst>
            <a:ext uri="{FF2B5EF4-FFF2-40B4-BE49-F238E27FC236}">
              <a16:creationId xmlns:a16="http://schemas.microsoft.com/office/drawing/2014/main" id="{EFC2F3C6-A211-4C16-8BDA-19B3563FD99E}"/>
            </a:ext>
          </a:extLst>
        </xdr:cNvPr>
        <xdr:cNvGrpSpPr/>
      </xdr:nvGrpSpPr>
      <xdr:grpSpPr>
        <a:xfrm>
          <a:off x="228600" y="57150"/>
          <a:ext cx="11376937" cy="209551"/>
          <a:chOff x="228875" y="47431"/>
          <a:chExt cx="11372561" cy="201430"/>
        </a:xfrm>
      </xdr:grpSpPr>
      <xdr:sp macro="" textlink="">
        <xdr:nvSpPr>
          <xdr:cNvPr id="56" name="Rectangle: Rounded Corners 55">
            <a:hlinkClick xmlns:r="http://schemas.openxmlformats.org/officeDocument/2006/relationships" r:id="rId2"/>
            <a:extLst>
              <a:ext uri="{FF2B5EF4-FFF2-40B4-BE49-F238E27FC236}">
                <a16:creationId xmlns:a16="http://schemas.microsoft.com/office/drawing/2014/main" id="{BEFF391C-4891-0BE6-128D-385C98ACC758}"/>
              </a:ext>
            </a:extLst>
          </xdr:cNvPr>
          <xdr:cNvSpPr>
            <a:spLocks/>
          </xdr:cNvSpPr>
        </xdr:nvSpPr>
        <xdr:spPr>
          <a:xfrm>
            <a:off x="228875" y="47431"/>
            <a:ext cx="1221593" cy="201048"/>
          </a:xfrm>
          <a:prstGeom prst="roundRect">
            <a:avLst/>
          </a:prstGeom>
          <a:solidFill>
            <a:srgbClr val="0070C0"/>
          </a:solidFill>
          <a:ln>
            <a:solidFill>
              <a:srgbClr val="0070C0"/>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a:t>Return to Top</a:t>
            </a:r>
          </a:p>
        </xdr:txBody>
      </xdr:sp>
      <xdr:sp macro="[0]!ROI_QUEST_PRINT" textlink="">
        <xdr:nvSpPr>
          <xdr:cNvPr id="57" name="Rectangle: Rounded Corners 56">
            <a:hlinkClick xmlns:r="http://schemas.openxmlformats.org/officeDocument/2006/relationships" r:id="rId3"/>
            <a:extLst>
              <a:ext uri="{FF2B5EF4-FFF2-40B4-BE49-F238E27FC236}">
                <a16:creationId xmlns:a16="http://schemas.microsoft.com/office/drawing/2014/main" id="{FC982E41-4B38-F45D-A5FC-5E1317BC5C44}"/>
              </a:ext>
            </a:extLst>
          </xdr:cNvPr>
          <xdr:cNvSpPr>
            <a:spLocks/>
          </xdr:cNvSpPr>
        </xdr:nvSpPr>
        <xdr:spPr>
          <a:xfrm>
            <a:off x="4031272" y="47431"/>
            <a:ext cx="1217212" cy="201430"/>
          </a:xfrm>
          <a:prstGeom prst="roundRect">
            <a:avLst/>
          </a:prstGeom>
          <a:solidFill>
            <a:srgbClr val="E85E02"/>
          </a:solidFill>
          <a:ln>
            <a:solidFill>
              <a:srgbClr val="E85E02"/>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a:t>Cost</a:t>
            </a:r>
            <a:r>
              <a:rPr lang="en-US" sz="1100" baseline="0"/>
              <a:t> of Vacancy</a:t>
            </a:r>
            <a:endParaRPr lang="en-US" sz="1100"/>
          </a:p>
        </xdr:txBody>
      </xdr:sp>
      <xdr:sp macro="[0]!ROI_QUEST_PRINT" textlink="">
        <xdr:nvSpPr>
          <xdr:cNvPr id="58" name="Rectangle: Rounded Corners 57">
            <a:hlinkClick xmlns:r="http://schemas.openxmlformats.org/officeDocument/2006/relationships" r:id="rId2"/>
            <a:extLst>
              <a:ext uri="{FF2B5EF4-FFF2-40B4-BE49-F238E27FC236}">
                <a16:creationId xmlns:a16="http://schemas.microsoft.com/office/drawing/2014/main" id="{CE0531BB-96B8-D8D9-8E0A-DF38F958D79F}"/>
              </a:ext>
            </a:extLst>
          </xdr:cNvPr>
          <xdr:cNvSpPr>
            <a:spLocks/>
          </xdr:cNvSpPr>
        </xdr:nvSpPr>
        <xdr:spPr>
          <a:xfrm>
            <a:off x="5307422" y="47431"/>
            <a:ext cx="1217212" cy="201430"/>
          </a:xfrm>
          <a:prstGeom prst="roundRect">
            <a:avLst/>
          </a:prstGeom>
          <a:solidFill>
            <a:srgbClr val="E85E02"/>
          </a:solidFill>
          <a:ln>
            <a:solidFill>
              <a:srgbClr val="E85E02"/>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a:t>Cost</a:t>
            </a:r>
            <a:r>
              <a:rPr lang="en-US" sz="1100" baseline="0"/>
              <a:t> Per Hire</a:t>
            </a:r>
            <a:endParaRPr lang="en-US" sz="1100"/>
          </a:p>
        </xdr:txBody>
      </xdr:sp>
      <xdr:sp macro="[0]!ROI_QUEST_PRINT" textlink="">
        <xdr:nvSpPr>
          <xdr:cNvPr id="59" name="Rectangle: Rounded Corners 58">
            <a:hlinkClick xmlns:r="http://schemas.openxmlformats.org/officeDocument/2006/relationships" r:id="rId4"/>
            <a:extLst>
              <a:ext uri="{FF2B5EF4-FFF2-40B4-BE49-F238E27FC236}">
                <a16:creationId xmlns:a16="http://schemas.microsoft.com/office/drawing/2014/main" id="{A6C4E6A9-51AD-D585-47F0-019F3663073E}"/>
              </a:ext>
            </a:extLst>
          </xdr:cNvPr>
          <xdr:cNvSpPr>
            <a:spLocks/>
          </xdr:cNvSpPr>
        </xdr:nvSpPr>
        <xdr:spPr>
          <a:xfrm>
            <a:off x="6579771" y="47431"/>
            <a:ext cx="1212831" cy="201430"/>
          </a:xfrm>
          <a:prstGeom prst="roundRect">
            <a:avLst/>
          </a:prstGeom>
          <a:solidFill>
            <a:srgbClr val="E85E02"/>
          </a:solidFill>
          <a:ln>
            <a:solidFill>
              <a:srgbClr val="E85E02"/>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a:t>Cost</a:t>
            </a:r>
            <a:r>
              <a:rPr lang="en-US" sz="1100" baseline="0"/>
              <a:t> of Turnover</a:t>
            </a:r>
            <a:endParaRPr lang="en-US" sz="1100"/>
          </a:p>
        </xdr:txBody>
      </xdr:sp>
      <xdr:sp macro="[0]!ROI_QUEST_PRINT" textlink="">
        <xdr:nvSpPr>
          <xdr:cNvPr id="60" name="Rectangle: Rounded Corners 59">
            <a:hlinkClick xmlns:r="http://schemas.openxmlformats.org/officeDocument/2006/relationships" r:id="rId5"/>
            <a:extLst>
              <a:ext uri="{FF2B5EF4-FFF2-40B4-BE49-F238E27FC236}">
                <a16:creationId xmlns:a16="http://schemas.microsoft.com/office/drawing/2014/main" id="{4A0E1D74-3E9A-3946-5B86-4E246EE8862E}"/>
              </a:ext>
            </a:extLst>
          </xdr:cNvPr>
          <xdr:cNvSpPr>
            <a:spLocks/>
          </xdr:cNvSpPr>
        </xdr:nvSpPr>
        <xdr:spPr>
          <a:xfrm>
            <a:off x="1503649" y="47431"/>
            <a:ext cx="1212330" cy="201430"/>
          </a:xfrm>
          <a:prstGeom prst="roundRect">
            <a:avLst/>
          </a:prstGeom>
          <a:solidFill>
            <a:srgbClr val="00B050"/>
          </a:solidFill>
          <a:ln>
            <a:solidFill>
              <a:srgbClr val="00B050"/>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a:t>Questionnaire</a:t>
            </a:r>
          </a:p>
        </xdr:txBody>
      </xdr:sp>
      <xdr:sp macro="[0]!ROI_QUEST_PRINT" textlink="">
        <xdr:nvSpPr>
          <xdr:cNvPr id="61" name="Rectangle: Rounded Corners 60">
            <a:hlinkClick xmlns:r="http://schemas.openxmlformats.org/officeDocument/2006/relationships" r:id="rId6"/>
            <a:extLst>
              <a:ext uri="{FF2B5EF4-FFF2-40B4-BE49-F238E27FC236}">
                <a16:creationId xmlns:a16="http://schemas.microsoft.com/office/drawing/2014/main" id="{AE2E8C3A-8F85-4D86-850F-1B712ECEEE88}"/>
              </a:ext>
            </a:extLst>
          </xdr:cNvPr>
          <xdr:cNvSpPr>
            <a:spLocks/>
          </xdr:cNvSpPr>
        </xdr:nvSpPr>
        <xdr:spPr>
          <a:xfrm>
            <a:off x="2768929" y="47431"/>
            <a:ext cx="1208450" cy="201430"/>
          </a:xfrm>
          <a:prstGeom prst="roundRect">
            <a:avLst/>
          </a:prstGeom>
          <a:solidFill>
            <a:srgbClr val="00B050"/>
          </a:solidFill>
          <a:ln>
            <a:solidFill>
              <a:srgbClr val="00B050"/>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a:t>ROI Summary</a:t>
            </a:r>
          </a:p>
        </xdr:txBody>
      </xdr:sp>
      <xdr:sp macro="[0]!ROI_QUEST_PRINT" textlink="">
        <xdr:nvSpPr>
          <xdr:cNvPr id="62" name="Rectangle: Rounded Corners 61">
            <a:hlinkClick xmlns:r="http://schemas.openxmlformats.org/officeDocument/2006/relationships" r:id="rId7"/>
            <a:extLst>
              <a:ext uri="{FF2B5EF4-FFF2-40B4-BE49-F238E27FC236}">
                <a16:creationId xmlns:a16="http://schemas.microsoft.com/office/drawing/2014/main" id="{549E86C5-B7D0-C7C0-5A19-981AC6924A96}"/>
              </a:ext>
            </a:extLst>
          </xdr:cNvPr>
          <xdr:cNvSpPr>
            <a:spLocks/>
          </xdr:cNvSpPr>
        </xdr:nvSpPr>
        <xdr:spPr>
          <a:xfrm>
            <a:off x="7845537" y="47431"/>
            <a:ext cx="1221593" cy="201430"/>
          </a:xfrm>
          <a:prstGeom prst="roundRect">
            <a:avLst/>
          </a:prstGeom>
          <a:solidFill>
            <a:srgbClr val="E85E02"/>
          </a:solidFill>
          <a:ln>
            <a:solidFill>
              <a:srgbClr val="E85E02"/>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a:t>Subsidies</a:t>
            </a:r>
          </a:p>
        </xdr:txBody>
      </xdr:sp>
      <xdr:sp macro="[0]!ROI_QUEST_PRINT" textlink="">
        <xdr:nvSpPr>
          <xdr:cNvPr id="63" name="Rectangle: Rounded Corners 62">
            <a:hlinkClick xmlns:r="http://schemas.openxmlformats.org/officeDocument/2006/relationships" r:id="rId8"/>
            <a:extLst>
              <a:ext uri="{FF2B5EF4-FFF2-40B4-BE49-F238E27FC236}">
                <a16:creationId xmlns:a16="http://schemas.microsoft.com/office/drawing/2014/main" id="{7B37B716-1B1D-55D7-A8C9-8E402A01F700}"/>
              </a:ext>
            </a:extLst>
          </xdr:cNvPr>
          <xdr:cNvSpPr>
            <a:spLocks noChangeAspect="1"/>
          </xdr:cNvSpPr>
        </xdr:nvSpPr>
        <xdr:spPr>
          <a:xfrm>
            <a:off x="9117964" y="47431"/>
            <a:ext cx="1217212" cy="192024"/>
          </a:xfrm>
          <a:prstGeom prst="roundRect">
            <a:avLst/>
          </a:prstGeom>
          <a:solidFill>
            <a:srgbClr val="E85E02"/>
          </a:solidFill>
          <a:ln>
            <a:solidFill>
              <a:srgbClr val="E85E02"/>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a:t>WOTC</a:t>
            </a:r>
          </a:p>
        </xdr:txBody>
      </xdr:sp>
      <xdr:sp macro="[0]!ROI_QUEST_PRINT" textlink="">
        <xdr:nvSpPr>
          <xdr:cNvPr id="64" name="Rectangle: Rounded Corners 63">
            <a:hlinkClick xmlns:r="http://schemas.openxmlformats.org/officeDocument/2006/relationships" r:id="rId9"/>
            <a:extLst>
              <a:ext uri="{FF2B5EF4-FFF2-40B4-BE49-F238E27FC236}">
                <a16:creationId xmlns:a16="http://schemas.microsoft.com/office/drawing/2014/main" id="{CD7E1E10-D611-75C8-FD74-468D8C98501E}"/>
              </a:ext>
            </a:extLst>
          </xdr:cNvPr>
          <xdr:cNvSpPr>
            <a:spLocks noChangeAspect="1"/>
          </xdr:cNvSpPr>
        </xdr:nvSpPr>
        <xdr:spPr>
          <a:xfrm>
            <a:off x="10384224" y="47625"/>
            <a:ext cx="1217212" cy="192024"/>
          </a:xfrm>
          <a:prstGeom prst="roundRect">
            <a:avLst/>
          </a:prstGeom>
          <a:solidFill>
            <a:srgbClr val="E85E02"/>
          </a:solidFill>
          <a:ln>
            <a:solidFill>
              <a:srgbClr val="E85E02"/>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a:t>FL EL Tax Credit</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303139</xdr:rowOff>
    </xdr:from>
    <xdr:to>
      <xdr:col>2</xdr:col>
      <xdr:colOff>1408265</xdr:colOff>
      <xdr:row>2</xdr:row>
      <xdr:rowOff>0</xdr:rowOff>
    </xdr:to>
    <xdr:pic>
      <xdr:nvPicPr>
        <xdr:cNvPr id="2" name="Picture 1" descr="CareerSource Tampa Bay | Employment Services: Agencies, Consulting,  Coaching, Traini">
          <a:extLst>
            <a:ext uri="{FF2B5EF4-FFF2-40B4-BE49-F238E27FC236}">
              <a16:creationId xmlns:a16="http://schemas.microsoft.com/office/drawing/2014/main" id="{A7BDE011-00C1-4E4B-AA2C-BA57AF93E48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817" b="8627"/>
        <a:stretch/>
      </xdr:blipFill>
      <xdr:spPr bwMode="auto">
        <a:xfrm>
          <a:off x="228600" y="617464"/>
          <a:ext cx="1641628" cy="6017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1581150</xdr:colOff>
      <xdr:row>1</xdr:row>
      <xdr:rowOff>238125</xdr:rowOff>
    </xdr:from>
    <xdr:to>
      <xdr:col>5</xdr:col>
      <xdr:colOff>0</xdr:colOff>
      <xdr:row>2</xdr:row>
      <xdr:rowOff>0</xdr:rowOff>
    </xdr:to>
    <xdr:sp macro="" textlink="">
      <xdr:nvSpPr>
        <xdr:cNvPr id="3" name="TextBox 2">
          <a:extLst>
            <a:ext uri="{FF2B5EF4-FFF2-40B4-BE49-F238E27FC236}">
              <a16:creationId xmlns:a16="http://schemas.microsoft.com/office/drawing/2014/main" id="{EC44288D-4265-47F6-90F3-2B5CE6B48928}"/>
            </a:ext>
          </a:extLst>
        </xdr:cNvPr>
        <xdr:cNvSpPr txBox="1"/>
      </xdr:nvSpPr>
      <xdr:spPr>
        <a:xfrm>
          <a:off x="2047875" y="552450"/>
          <a:ext cx="5534025" cy="666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u="sng">
              <a:solidFill>
                <a:srgbClr val="0056B4"/>
              </a:solidFill>
            </a:rPr>
            <a:t>RETURN ON INVESTMENT</a:t>
          </a:r>
          <a:r>
            <a:rPr lang="en-US" sz="1600" b="1" u="sng" baseline="0">
              <a:solidFill>
                <a:srgbClr val="0056B4"/>
              </a:solidFill>
            </a:rPr>
            <a:t> CALCULATOR</a:t>
          </a:r>
        </a:p>
        <a:p>
          <a:pPr algn="ctr"/>
          <a:r>
            <a:rPr lang="en-US" sz="1600" b="1" u="none" baseline="0">
              <a:solidFill>
                <a:srgbClr val="0056B4"/>
              </a:solidFill>
            </a:rPr>
            <a:t>COST OF TURNOVER</a:t>
          </a:r>
        </a:p>
        <a:p>
          <a:pPr algn="ctr"/>
          <a:endParaRPr lang="en-US" sz="1600"/>
        </a:p>
      </xdr:txBody>
    </xdr:sp>
    <xdr:clientData/>
  </xdr:twoCellAnchor>
  <xdr:twoCellAnchor>
    <xdr:from>
      <xdr:col>1</xdr:col>
      <xdr:colOff>0</xdr:colOff>
      <xdr:row>0</xdr:row>
      <xdr:rowOff>57150</xdr:rowOff>
    </xdr:from>
    <xdr:to>
      <xdr:col>7</xdr:col>
      <xdr:colOff>1169312</xdr:colOff>
      <xdr:row>0</xdr:row>
      <xdr:rowOff>266701</xdr:rowOff>
    </xdr:to>
    <xdr:grpSp>
      <xdr:nvGrpSpPr>
        <xdr:cNvPr id="14" name="Group 13">
          <a:extLst>
            <a:ext uri="{FF2B5EF4-FFF2-40B4-BE49-F238E27FC236}">
              <a16:creationId xmlns:a16="http://schemas.microsoft.com/office/drawing/2014/main" id="{5600659C-B4EA-47A3-B5E4-E3AAD74632D5}"/>
            </a:ext>
          </a:extLst>
        </xdr:cNvPr>
        <xdr:cNvGrpSpPr/>
      </xdr:nvGrpSpPr>
      <xdr:grpSpPr>
        <a:xfrm>
          <a:off x="228600" y="57150"/>
          <a:ext cx="10189487" cy="209551"/>
          <a:chOff x="228875" y="47431"/>
          <a:chExt cx="10107710" cy="201430"/>
        </a:xfrm>
      </xdr:grpSpPr>
      <xdr:sp macro="" textlink="">
        <xdr:nvSpPr>
          <xdr:cNvPr id="26" name="Rectangle: Rounded Corners 25">
            <a:hlinkClick xmlns:r="http://schemas.openxmlformats.org/officeDocument/2006/relationships" r:id="rId2"/>
            <a:extLst>
              <a:ext uri="{FF2B5EF4-FFF2-40B4-BE49-F238E27FC236}">
                <a16:creationId xmlns:a16="http://schemas.microsoft.com/office/drawing/2014/main" id="{83F80495-2C15-E04B-7147-4500DB9E5FB9}"/>
              </a:ext>
            </a:extLst>
          </xdr:cNvPr>
          <xdr:cNvSpPr>
            <a:spLocks/>
          </xdr:cNvSpPr>
        </xdr:nvSpPr>
        <xdr:spPr>
          <a:xfrm>
            <a:off x="228875" y="47431"/>
            <a:ext cx="1221593" cy="201048"/>
          </a:xfrm>
          <a:prstGeom prst="roundRect">
            <a:avLst/>
          </a:prstGeom>
          <a:solidFill>
            <a:srgbClr val="0070C0"/>
          </a:solidFill>
          <a:ln>
            <a:solidFill>
              <a:srgbClr val="0070C0"/>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a:t>Return to Top</a:t>
            </a:r>
          </a:p>
        </xdr:txBody>
      </xdr:sp>
      <xdr:sp macro="[0]!ROI_QUEST_PRINT" textlink="">
        <xdr:nvSpPr>
          <xdr:cNvPr id="27" name="Rectangle: Rounded Corners 26">
            <a:hlinkClick xmlns:r="http://schemas.openxmlformats.org/officeDocument/2006/relationships" r:id="rId3"/>
            <a:extLst>
              <a:ext uri="{FF2B5EF4-FFF2-40B4-BE49-F238E27FC236}">
                <a16:creationId xmlns:a16="http://schemas.microsoft.com/office/drawing/2014/main" id="{9189F910-21DA-6891-0D4F-C3BB8D4F70DD}"/>
              </a:ext>
            </a:extLst>
          </xdr:cNvPr>
          <xdr:cNvSpPr>
            <a:spLocks/>
          </xdr:cNvSpPr>
        </xdr:nvSpPr>
        <xdr:spPr>
          <a:xfrm>
            <a:off x="4031272" y="47431"/>
            <a:ext cx="1217212" cy="201430"/>
          </a:xfrm>
          <a:prstGeom prst="roundRect">
            <a:avLst/>
          </a:prstGeom>
          <a:solidFill>
            <a:srgbClr val="E85E02"/>
          </a:solidFill>
          <a:ln>
            <a:solidFill>
              <a:srgbClr val="E85E02"/>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a:t>Cost</a:t>
            </a:r>
            <a:r>
              <a:rPr lang="en-US" sz="1100" baseline="0"/>
              <a:t> of Vacancy</a:t>
            </a:r>
            <a:endParaRPr lang="en-US" sz="1100"/>
          </a:p>
        </xdr:txBody>
      </xdr:sp>
      <xdr:sp macro="[0]!ROI_QUEST_PRINT" textlink="">
        <xdr:nvSpPr>
          <xdr:cNvPr id="28" name="Rectangle: Rounded Corners 27">
            <a:hlinkClick xmlns:r="http://schemas.openxmlformats.org/officeDocument/2006/relationships" r:id="rId2"/>
            <a:extLst>
              <a:ext uri="{FF2B5EF4-FFF2-40B4-BE49-F238E27FC236}">
                <a16:creationId xmlns:a16="http://schemas.microsoft.com/office/drawing/2014/main" id="{3F777965-9776-29A3-2225-3DEACE72FDA1}"/>
              </a:ext>
            </a:extLst>
          </xdr:cNvPr>
          <xdr:cNvSpPr>
            <a:spLocks/>
          </xdr:cNvSpPr>
        </xdr:nvSpPr>
        <xdr:spPr>
          <a:xfrm>
            <a:off x="5314919" y="47431"/>
            <a:ext cx="1212831" cy="201430"/>
          </a:xfrm>
          <a:prstGeom prst="roundRect">
            <a:avLst/>
          </a:prstGeom>
          <a:solidFill>
            <a:srgbClr val="E85E02"/>
          </a:solidFill>
          <a:ln>
            <a:solidFill>
              <a:srgbClr val="E85E02"/>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a:t>Cost</a:t>
            </a:r>
            <a:r>
              <a:rPr lang="en-US" sz="1100" baseline="0"/>
              <a:t> of Turnover</a:t>
            </a:r>
            <a:endParaRPr lang="en-US" sz="1100"/>
          </a:p>
        </xdr:txBody>
      </xdr:sp>
      <xdr:sp macro="[0]!ROI_QUEST_PRINT" textlink="">
        <xdr:nvSpPr>
          <xdr:cNvPr id="29" name="Rectangle: Rounded Corners 28">
            <a:hlinkClick xmlns:r="http://schemas.openxmlformats.org/officeDocument/2006/relationships" r:id="rId4"/>
            <a:extLst>
              <a:ext uri="{FF2B5EF4-FFF2-40B4-BE49-F238E27FC236}">
                <a16:creationId xmlns:a16="http://schemas.microsoft.com/office/drawing/2014/main" id="{B136AF0B-4183-C065-50E2-61A9B2225312}"/>
              </a:ext>
            </a:extLst>
          </xdr:cNvPr>
          <xdr:cNvSpPr>
            <a:spLocks/>
          </xdr:cNvSpPr>
        </xdr:nvSpPr>
        <xdr:spPr>
          <a:xfrm>
            <a:off x="1503649" y="47431"/>
            <a:ext cx="1212330" cy="201430"/>
          </a:xfrm>
          <a:prstGeom prst="roundRect">
            <a:avLst/>
          </a:prstGeom>
          <a:solidFill>
            <a:srgbClr val="00B050"/>
          </a:solidFill>
          <a:ln>
            <a:solidFill>
              <a:srgbClr val="00B050"/>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a:t>Questionnaire</a:t>
            </a:r>
          </a:p>
        </xdr:txBody>
      </xdr:sp>
      <xdr:sp macro="[0]!ROI_QUEST_PRINT" textlink="">
        <xdr:nvSpPr>
          <xdr:cNvPr id="30" name="Rectangle: Rounded Corners 29">
            <a:hlinkClick xmlns:r="http://schemas.openxmlformats.org/officeDocument/2006/relationships" r:id="rId5"/>
            <a:extLst>
              <a:ext uri="{FF2B5EF4-FFF2-40B4-BE49-F238E27FC236}">
                <a16:creationId xmlns:a16="http://schemas.microsoft.com/office/drawing/2014/main" id="{85B245BB-FB6C-4792-20E8-DE81EC51BC72}"/>
              </a:ext>
            </a:extLst>
          </xdr:cNvPr>
          <xdr:cNvSpPr>
            <a:spLocks/>
          </xdr:cNvSpPr>
        </xdr:nvSpPr>
        <xdr:spPr>
          <a:xfrm>
            <a:off x="2768929" y="47431"/>
            <a:ext cx="1208450" cy="201430"/>
          </a:xfrm>
          <a:prstGeom prst="roundRect">
            <a:avLst/>
          </a:prstGeom>
          <a:solidFill>
            <a:srgbClr val="00B050"/>
          </a:solidFill>
          <a:ln>
            <a:solidFill>
              <a:srgbClr val="00B050"/>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a:t>ROI Summary</a:t>
            </a:r>
          </a:p>
        </xdr:txBody>
      </xdr:sp>
      <xdr:sp macro="[0]!ROI_QUEST_PRINT" textlink="">
        <xdr:nvSpPr>
          <xdr:cNvPr id="31" name="Rectangle: Rounded Corners 30">
            <a:hlinkClick xmlns:r="http://schemas.openxmlformats.org/officeDocument/2006/relationships" r:id="rId6"/>
            <a:extLst>
              <a:ext uri="{FF2B5EF4-FFF2-40B4-BE49-F238E27FC236}">
                <a16:creationId xmlns:a16="http://schemas.microsoft.com/office/drawing/2014/main" id="{88CA7882-36BC-F574-F916-FD4E0BE44ADC}"/>
              </a:ext>
            </a:extLst>
          </xdr:cNvPr>
          <xdr:cNvSpPr>
            <a:spLocks/>
          </xdr:cNvSpPr>
        </xdr:nvSpPr>
        <xdr:spPr>
          <a:xfrm>
            <a:off x="6580685" y="47431"/>
            <a:ext cx="1221593" cy="201430"/>
          </a:xfrm>
          <a:prstGeom prst="roundRect">
            <a:avLst/>
          </a:prstGeom>
          <a:solidFill>
            <a:srgbClr val="E85E02"/>
          </a:solidFill>
          <a:ln>
            <a:solidFill>
              <a:srgbClr val="E85E02"/>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a:t>Subsidies</a:t>
            </a:r>
          </a:p>
        </xdr:txBody>
      </xdr:sp>
      <xdr:sp macro="[0]!ROI_QUEST_PRINT" textlink="">
        <xdr:nvSpPr>
          <xdr:cNvPr id="32" name="Rectangle: Rounded Corners 31">
            <a:hlinkClick xmlns:r="http://schemas.openxmlformats.org/officeDocument/2006/relationships" r:id="rId7"/>
            <a:extLst>
              <a:ext uri="{FF2B5EF4-FFF2-40B4-BE49-F238E27FC236}">
                <a16:creationId xmlns:a16="http://schemas.microsoft.com/office/drawing/2014/main" id="{85DFC733-9B9A-0A64-F2E2-F70EF8EABCFF}"/>
              </a:ext>
            </a:extLst>
          </xdr:cNvPr>
          <xdr:cNvSpPr>
            <a:spLocks noChangeAspect="1"/>
          </xdr:cNvSpPr>
        </xdr:nvSpPr>
        <xdr:spPr>
          <a:xfrm>
            <a:off x="7853112" y="47431"/>
            <a:ext cx="1217212" cy="192024"/>
          </a:xfrm>
          <a:prstGeom prst="roundRect">
            <a:avLst/>
          </a:prstGeom>
          <a:solidFill>
            <a:srgbClr val="E85E02"/>
          </a:solidFill>
          <a:ln>
            <a:solidFill>
              <a:srgbClr val="E85E02"/>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a:t>WOTC</a:t>
            </a:r>
          </a:p>
        </xdr:txBody>
      </xdr:sp>
      <xdr:sp macro="[0]!ROI_QUEST_PRINT" textlink="">
        <xdr:nvSpPr>
          <xdr:cNvPr id="33" name="Rectangle: Rounded Corners 32">
            <a:hlinkClick xmlns:r="http://schemas.openxmlformats.org/officeDocument/2006/relationships" r:id="rId8"/>
            <a:extLst>
              <a:ext uri="{FF2B5EF4-FFF2-40B4-BE49-F238E27FC236}">
                <a16:creationId xmlns:a16="http://schemas.microsoft.com/office/drawing/2014/main" id="{21D9CE17-B84E-264F-5274-CBA71439B874}"/>
              </a:ext>
            </a:extLst>
          </xdr:cNvPr>
          <xdr:cNvSpPr>
            <a:spLocks noChangeAspect="1"/>
          </xdr:cNvSpPr>
        </xdr:nvSpPr>
        <xdr:spPr>
          <a:xfrm>
            <a:off x="9119373" y="47625"/>
            <a:ext cx="1217212" cy="192024"/>
          </a:xfrm>
          <a:prstGeom prst="roundRect">
            <a:avLst/>
          </a:prstGeom>
          <a:solidFill>
            <a:srgbClr val="E85E02"/>
          </a:solidFill>
          <a:ln>
            <a:solidFill>
              <a:srgbClr val="E85E02"/>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a:t>FL EL Tax Credit</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1581150</xdr:colOff>
      <xdr:row>1</xdr:row>
      <xdr:rowOff>238125</xdr:rowOff>
    </xdr:from>
    <xdr:to>
      <xdr:col>5</xdr:col>
      <xdr:colOff>0</xdr:colOff>
      <xdr:row>2</xdr:row>
      <xdr:rowOff>0</xdr:rowOff>
    </xdr:to>
    <xdr:sp macro="" textlink="">
      <xdr:nvSpPr>
        <xdr:cNvPr id="3" name="TextBox 2">
          <a:extLst>
            <a:ext uri="{FF2B5EF4-FFF2-40B4-BE49-F238E27FC236}">
              <a16:creationId xmlns:a16="http://schemas.microsoft.com/office/drawing/2014/main" id="{D40C14C2-FA12-44C0-A946-E32927EEBB0F}"/>
            </a:ext>
          </a:extLst>
        </xdr:cNvPr>
        <xdr:cNvSpPr txBox="1"/>
      </xdr:nvSpPr>
      <xdr:spPr>
        <a:xfrm>
          <a:off x="2085975" y="552450"/>
          <a:ext cx="5972175" cy="666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u="sng">
              <a:solidFill>
                <a:srgbClr val="0056B4"/>
              </a:solidFill>
            </a:rPr>
            <a:t>RETURN ON INVESTMENT</a:t>
          </a:r>
          <a:r>
            <a:rPr lang="en-US" sz="1600" b="1" u="sng" baseline="0">
              <a:solidFill>
                <a:srgbClr val="0056B4"/>
              </a:solidFill>
            </a:rPr>
            <a:t> CALCULATOR</a:t>
          </a:r>
        </a:p>
        <a:p>
          <a:pPr algn="ctr"/>
          <a:r>
            <a:rPr lang="en-US" sz="1600" b="1" u="none" baseline="0">
              <a:solidFill>
                <a:srgbClr val="0056B4"/>
              </a:solidFill>
            </a:rPr>
            <a:t>APPRENTICE SUBSIDIES</a:t>
          </a:r>
        </a:p>
        <a:p>
          <a:pPr algn="ctr"/>
          <a:endParaRPr lang="en-US" sz="1600"/>
        </a:p>
      </xdr:txBody>
    </xdr:sp>
    <xdr:clientData/>
  </xdr:twoCellAnchor>
  <xdr:twoCellAnchor editAs="oneCell">
    <xdr:from>
      <xdr:col>1</xdr:col>
      <xdr:colOff>19050</xdr:colOff>
      <xdr:row>1</xdr:row>
      <xdr:rowOff>295275</xdr:rowOff>
    </xdr:from>
    <xdr:to>
      <xdr:col>2</xdr:col>
      <xdr:colOff>1427315</xdr:colOff>
      <xdr:row>1</xdr:row>
      <xdr:rowOff>897011</xdr:rowOff>
    </xdr:to>
    <xdr:pic>
      <xdr:nvPicPr>
        <xdr:cNvPr id="12" name="Picture 11" descr="CareerSource Tampa Bay | Employment Services: Agencies, Consulting,  Coaching, Traini">
          <a:extLst>
            <a:ext uri="{FF2B5EF4-FFF2-40B4-BE49-F238E27FC236}">
              <a16:creationId xmlns:a16="http://schemas.microsoft.com/office/drawing/2014/main" id="{69760202-CD71-427D-95C6-77A6230C550C}"/>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817" b="8627"/>
        <a:stretch/>
      </xdr:blipFill>
      <xdr:spPr bwMode="auto">
        <a:xfrm>
          <a:off x="266700" y="609600"/>
          <a:ext cx="1665440" cy="6017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238125</xdr:colOff>
      <xdr:row>0</xdr:row>
      <xdr:rowOff>57150</xdr:rowOff>
    </xdr:from>
    <xdr:to>
      <xdr:col>12</xdr:col>
      <xdr:colOff>159662</xdr:colOff>
      <xdr:row>0</xdr:row>
      <xdr:rowOff>266701</xdr:rowOff>
    </xdr:to>
    <xdr:grpSp>
      <xdr:nvGrpSpPr>
        <xdr:cNvPr id="25" name="Group 24">
          <a:extLst>
            <a:ext uri="{FF2B5EF4-FFF2-40B4-BE49-F238E27FC236}">
              <a16:creationId xmlns:a16="http://schemas.microsoft.com/office/drawing/2014/main" id="{C65D6B9F-D3A5-452B-BE39-9C70BEF74584}"/>
            </a:ext>
          </a:extLst>
        </xdr:cNvPr>
        <xdr:cNvGrpSpPr/>
      </xdr:nvGrpSpPr>
      <xdr:grpSpPr>
        <a:xfrm>
          <a:off x="228600" y="57150"/>
          <a:ext cx="12011937" cy="209551"/>
          <a:chOff x="228875" y="47431"/>
          <a:chExt cx="10107710" cy="201430"/>
        </a:xfrm>
      </xdr:grpSpPr>
      <xdr:sp macro="" textlink="">
        <xdr:nvSpPr>
          <xdr:cNvPr id="26" name="Rectangle: Rounded Corners 25">
            <a:hlinkClick xmlns:r="http://schemas.openxmlformats.org/officeDocument/2006/relationships" r:id="rId2"/>
            <a:extLst>
              <a:ext uri="{FF2B5EF4-FFF2-40B4-BE49-F238E27FC236}">
                <a16:creationId xmlns:a16="http://schemas.microsoft.com/office/drawing/2014/main" id="{36932C2E-8655-D328-B1D6-ABD7C659EF94}"/>
              </a:ext>
            </a:extLst>
          </xdr:cNvPr>
          <xdr:cNvSpPr>
            <a:spLocks/>
          </xdr:cNvSpPr>
        </xdr:nvSpPr>
        <xdr:spPr>
          <a:xfrm>
            <a:off x="228875" y="47431"/>
            <a:ext cx="1221593" cy="201048"/>
          </a:xfrm>
          <a:prstGeom prst="roundRect">
            <a:avLst/>
          </a:prstGeom>
          <a:solidFill>
            <a:srgbClr val="0070C0"/>
          </a:solidFill>
          <a:ln>
            <a:solidFill>
              <a:srgbClr val="0070C0"/>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a:t>Return to Top</a:t>
            </a:r>
          </a:p>
        </xdr:txBody>
      </xdr:sp>
      <xdr:sp macro="[0]!ROI_QUEST_PRINT" textlink="">
        <xdr:nvSpPr>
          <xdr:cNvPr id="27" name="Rectangle: Rounded Corners 26">
            <a:hlinkClick xmlns:r="http://schemas.openxmlformats.org/officeDocument/2006/relationships" r:id="rId3"/>
            <a:extLst>
              <a:ext uri="{FF2B5EF4-FFF2-40B4-BE49-F238E27FC236}">
                <a16:creationId xmlns:a16="http://schemas.microsoft.com/office/drawing/2014/main" id="{E2504AD6-5849-1121-7C89-043D1C6919F7}"/>
              </a:ext>
            </a:extLst>
          </xdr:cNvPr>
          <xdr:cNvSpPr>
            <a:spLocks/>
          </xdr:cNvSpPr>
        </xdr:nvSpPr>
        <xdr:spPr>
          <a:xfrm>
            <a:off x="4031272" y="47431"/>
            <a:ext cx="1217212" cy="201430"/>
          </a:xfrm>
          <a:prstGeom prst="roundRect">
            <a:avLst/>
          </a:prstGeom>
          <a:solidFill>
            <a:srgbClr val="E85E02"/>
          </a:solidFill>
          <a:ln>
            <a:solidFill>
              <a:srgbClr val="E85E02"/>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a:t>Cost</a:t>
            </a:r>
            <a:r>
              <a:rPr lang="en-US" sz="1100" baseline="0"/>
              <a:t> of Vacancy</a:t>
            </a:r>
            <a:endParaRPr lang="en-US" sz="1100"/>
          </a:p>
        </xdr:txBody>
      </xdr:sp>
      <xdr:sp macro="[0]!ROI_QUEST_PRINT" textlink="">
        <xdr:nvSpPr>
          <xdr:cNvPr id="28" name="Rectangle: Rounded Corners 27">
            <a:hlinkClick xmlns:r="http://schemas.openxmlformats.org/officeDocument/2006/relationships" r:id="rId4"/>
            <a:extLst>
              <a:ext uri="{FF2B5EF4-FFF2-40B4-BE49-F238E27FC236}">
                <a16:creationId xmlns:a16="http://schemas.microsoft.com/office/drawing/2014/main" id="{7A99A61A-7375-1F56-FEC7-A173DC760121}"/>
              </a:ext>
            </a:extLst>
          </xdr:cNvPr>
          <xdr:cNvSpPr>
            <a:spLocks/>
          </xdr:cNvSpPr>
        </xdr:nvSpPr>
        <xdr:spPr>
          <a:xfrm>
            <a:off x="5314919" y="47431"/>
            <a:ext cx="1212831" cy="201430"/>
          </a:xfrm>
          <a:prstGeom prst="roundRect">
            <a:avLst/>
          </a:prstGeom>
          <a:solidFill>
            <a:srgbClr val="E85E02"/>
          </a:solidFill>
          <a:ln>
            <a:solidFill>
              <a:srgbClr val="E85E02"/>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a:t>Cost</a:t>
            </a:r>
            <a:r>
              <a:rPr lang="en-US" sz="1100" baseline="0"/>
              <a:t> of Turnover</a:t>
            </a:r>
            <a:endParaRPr lang="en-US" sz="1100"/>
          </a:p>
        </xdr:txBody>
      </xdr:sp>
      <xdr:sp macro="[0]!ROI_QUEST_PRINT" textlink="">
        <xdr:nvSpPr>
          <xdr:cNvPr id="29" name="Rectangle: Rounded Corners 28">
            <a:hlinkClick xmlns:r="http://schemas.openxmlformats.org/officeDocument/2006/relationships" r:id="rId5"/>
            <a:extLst>
              <a:ext uri="{FF2B5EF4-FFF2-40B4-BE49-F238E27FC236}">
                <a16:creationId xmlns:a16="http://schemas.microsoft.com/office/drawing/2014/main" id="{35C65582-AB8B-9A86-73C6-F23BB3E44330}"/>
              </a:ext>
            </a:extLst>
          </xdr:cNvPr>
          <xdr:cNvSpPr>
            <a:spLocks/>
          </xdr:cNvSpPr>
        </xdr:nvSpPr>
        <xdr:spPr>
          <a:xfrm>
            <a:off x="1503649" y="47431"/>
            <a:ext cx="1212330" cy="201430"/>
          </a:xfrm>
          <a:prstGeom prst="roundRect">
            <a:avLst/>
          </a:prstGeom>
          <a:solidFill>
            <a:srgbClr val="00B050"/>
          </a:solidFill>
          <a:ln>
            <a:solidFill>
              <a:srgbClr val="00B050"/>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a:t>Questionnaire</a:t>
            </a:r>
          </a:p>
        </xdr:txBody>
      </xdr:sp>
      <xdr:sp macro="[0]!ROI_QUEST_PRINT" textlink="">
        <xdr:nvSpPr>
          <xdr:cNvPr id="30" name="Rectangle: Rounded Corners 29">
            <a:hlinkClick xmlns:r="http://schemas.openxmlformats.org/officeDocument/2006/relationships" r:id="rId6"/>
            <a:extLst>
              <a:ext uri="{FF2B5EF4-FFF2-40B4-BE49-F238E27FC236}">
                <a16:creationId xmlns:a16="http://schemas.microsoft.com/office/drawing/2014/main" id="{449BF10A-2E15-3DD8-6485-AD43EE4E4C69}"/>
              </a:ext>
            </a:extLst>
          </xdr:cNvPr>
          <xdr:cNvSpPr>
            <a:spLocks/>
          </xdr:cNvSpPr>
        </xdr:nvSpPr>
        <xdr:spPr>
          <a:xfrm>
            <a:off x="2768929" y="47431"/>
            <a:ext cx="1208450" cy="201430"/>
          </a:xfrm>
          <a:prstGeom prst="roundRect">
            <a:avLst/>
          </a:prstGeom>
          <a:solidFill>
            <a:srgbClr val="00B050"/>
          </a:solidFill>
          <a:ln>
            <a:solidFill>
              <a:srgbClr val="00B050"/>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a:t>ROI Summary</a:t>
            </a:r>
          </a:p>
        </xdr:txBody>
      </xdr:sp>
      <xdr:sp macro="[0]!ROI_QUEST_PRINT" textlink="">
        <xdr:nvSpPr>
          <xdr:cNvPr id="31" name="Rectangle: Rounded Corners 30">
            <a:hlinkClick xmlns:r="http://schemas.openxmlformats.org/officeDocument/2006/relationships" r:id="rId2"/>
            <a:extLst>
              <a:ext uri="{FF2B5EF4-FFF2-40B4-BE49-F238E27FC236}">
                <a16:creationId xmlns:a16="http://schemas.microsoft.com/office/drawing/2014/main" id="{D6378196-53A7-A6C2-D575-9F26D7F276E6}"/>
              </a:ext>
            </a:extLst>
          </xdr:cNvPr>
          <xdr:cNvSpPr>
            <a:spLocks/>
          </xdr:cNvSpPr>
        </xdr:nvSpPr>
        <xdr:spPr>
          <a:xfrm>
            <a:off x="6580685" y="47431"/>
            <a:ext cx="1221593" cy="201430"/>
          </a:xfrm>
          <a:prstGeom prst="roundRect">
            <a:avLst/>
          </a:prstGeom>
          <a:solidFill>
            <a:srgbClr val="E85E02"/>
          </a:solidFill>
          <a:ln>
            <a:solidFill>
              <a:srgbClr val="E85E02"/>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a:t>Subsidies</a:t>
            </a:r>
          </a:p>
        </xdr:txBody>
      </xdr:sp>
      <xdr:sp macro="[0]!ROI_QUEST_PRINT" textlink="">
        <xdr:nvSpPr>
          <xdr:cNvPr id="32" name="Rectangle: Rounded Corners 31">
            <a:hlinkClick xmlns:r="http://schemas.openxmlformats.org/officeDocument/2006/relationships" r:id="rId7"/>
            <a:extLst>
              <a:ext uri="{FF2B5EF4-FFF2-40B4-BE49-F238E27FC236}">
                <a16:creationId xmlns:a16="http://schemas.microsoft.com/office/drawing/2014/main" id="{96657B2F-E197-030F-1EA7-824073CC4D9A}"/>
              </a:ext>
            </a:extLst>
          </xdr:cNvPr>
          <xdr:cNvSpPr>
            <a:spLocks noChangeAspect="1"/>
          </xdr:cNvSpPr>
        </xdr:nvSpPr>
        <xdr:spPr>
          <a:xfrm>
            <a:off x="7853112" y="47431"/>
            <a:ext cx="1217212" cy="192024"/>
          </a:xfrm>
          <a:prstGeom prst="roundRect">
            <a:avLst/>
          </a:prstGeom>
          <a:solidFill>
            <a:srgbClr val="E85E02"/>
          </a:solidFill>
          <a:ln>
            <a:solidFill>
              <a:srgbClr val="E85E02"/>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a:t>WOTC</a:t>
            </a:r>
          </a:p>
        </xdr:txBody>
      </xdr:sp>
      <xdr:sp macro="[0]!ROI_QUEST_PRINT" textlink="">
        <xdr:nvSpPr>
          <xdr:cNvPr id="33" name="Rectangle: Rounded Corners 32">
            <a:hlinkClick xmlns:r="http://schemas.openxmlformats.org/officeDocument/2006/relationships" r:id="rId8"/>
            <a:extLst>
              <a:ext uri="{FF2B5EF4-FFF2-40B4-BE49-F238E27FC236}">
                <a16:creationId xmlns:a16="http://schemas.microsoft.com/office/drawing/2014/main" id="{0B7BCA73-9ADD-3FC0-C3F0-04B5EECBABC4}"/>
              </a:ext>
            </a:extLst>
          </xdr:cNvPr>
          <xdr:cNvSpPr>
            <a:spLocks noChangeAspect="1"/>
          </xdr:cNvSpPr>
        </xdr:nvSpPr>
        <xdr:spPr>
          <a:xfrm>
            <a:off x="9119373" y="47625"/>
            <a:ext cx="1217212" cy="192024"/>
          </a:xfrm>
          <a:prstGeom prst="roundRect">
            <a:avLst/>
          </a:prstGeom>
          <a:solidFill>
            <a:srgbClr val="E85E02"/>
          </a:solidFill>
          <a:ln>
            <a:solidFill>
              <a:srgbClr val="E85E02"/>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a:t>FL EL Tax Credit</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1581150</xdr:colOff>
      <xdr:row>1</xdr:row>
      <xdr:rowOff>238125</xdr:rowOff>
    </xdr:from>
    <xdr:to>
      <xdr:col>5</xdr:col>
      <xdr:colOff>0</xdr:colOff>
      <xdr:row>2</xdr:row>
      <xdr:rowOff>0</xdr:rowOff>
    </xdr:to>
    <xdr:sp macro="" textlink="">
      <xdr:nvSpPr>
        <xdr:cNvPr id="13" name="TextBox 12">
          <a:extLst>
            <a:ext uri="{FF2B5EF4-FFF2-40B4-BE49-F238E27FC236}">
              <a16:creationId xmlns:a16="http://schemas.microsoft.com/office/drawing/2014/main" id="{10E2D457-AA35-430D-BFD0-69D315DC8051}"/>
            </a:ext>
          </a:extLst>
        </xdr:cNvPr>
        <xdr:cNvSpPr txBox="1"/>
      </xdr:nvSpPr>
      <xdr:spPr>
        <a:xfrm>
          <a:off x="2085975" y="552450"/>
          <a:ext cx="5972175" cy="666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u="sng">
              <a:solidFill>
                <a:srgbClr val="0056B4"/>
              </a:solidFill>
            </a:rPr>
            <a:t>RETURN ON INVESTMENT</a:t>
          </a:r>
          <a:r>
            <a:rPr lang="en-US" sz="1600" b="1" u="sng" baseline="0">
              <a:solidFill>
                <a:srgbClr val="0056B4"/>
              </a:solidFill>
            </a:rPr>
            <a:t> CALCULATOR</a:t>
          </a:r>
        </a:p>
        <a:p>
          <a:pPr algn="ctr"/>
          <a:r>
            <a:rPr lang="en-US" sz="1600" b="1" u="none" baseline="0">
              <a:solidFill>
                <a:srgbClr val="0056B4"/>
              </a:solidFill>
            </a:rPr>
            <a:t>WORK OPPORTUNITY TAX CREDIT (WOTC)</a:t>
          </a:r>
          <a:endParaRPr lang="en-US" sz="1600"/>
        </a:p>
      </xdr:txBody>
    </xdr:sp>
    <xdr:clientData/>
  </xdr:twoCellAnchor>
  <xdr:twoCellAnchor editAs="oneCell">
    <xdr:from>
      <xdr:col>1</xdr:col>
      <xdr:colOff>19050</xdr:colOff>
      <xdr:row>1</xdr:row>
      <xdr:rowOff>285750</xdr:rowOff>
    </xdr:from>
    <xdr:to>
      <xdr:col>2</xdr:col>
      <xdr:colOff>1427315</xdr:colOff>
      <xdr:row>1</xdr:row>
      <xdr:rowOff>887486</xdr:rowOff>
    </xdr:to>
    <xdr:pic>
      <xdr:nvPicPr>
        <xdr:cNvPr id="22" name="Picture 21" descr="CareerSource Tampa Bay | Employment Services: Agencies, Consulting,  Coaching, Traini">
          <a:extLst>
            <a:ext uri="{FF2B5EF4-FFF2-40B4-BE49-F238E27FC236}">
              <a16:creationId xmlns:a16="http://schemas.microsoft.com/office/drawing/2014/main" id="{F77CE953-3D64-4619-95DA-7405A83E5A4C}"/>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817" b="8627"/>
        <a:stretch/>
      </xdr:blipFill>
      <xdr:spPr bwMode="auto">
        <a:xfrm>
          <a:off x="266700" y="600075"/>
          <a:ext cx="1665440" cy="6017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xdr:row>
      <xdr:rowOff>0</xdr:rowOff>
    </xdr:from>
    <xdr:to>
      <xdr:col>5</xdr:col>
      <xdr:colOff>295276</xdr:colOff>
      <xdr:row>54</xdr:row>
      <xdr:rowOff>133350</xdr:rowOff>
    </xdr:to>
    <xdr:pic>
      <xdr:nvPicPr>
        <xdr:cNvPr id="23" name="Picture 22">
          <a:extLst>
            <a:ext uri="{FF2B5EF4-FFF2-40B4-BE49-F238E27FC236}">
              <a16:creationId xmlns:a16="http://schemas.microsoft.com/office/drawing/2014/main" id="{46AF7D0F-6893-4310-8E4B-D3F383A2B175}"/>
            </a:ext>
          </a:extLst>
        </xdr:cNvPr>
        <xdr:cNvPicPr>
          <a:picLocks noChangeAspect="1"/>
        </xdr:cNvPicPr>
      </xdr:nvPicPr>
      <xdr:blipFill rotWithShape="1">
        <a:blip xmlns:r="http://schemas.openxmlformats.org/officeDocument/2006/relationships" r:embed="rId2"/>
        <a:srcRect l="18230" t="14261" r="39837" b="8878"/>
        <a:stretch/>
      </xdr:blipFill>
      <xdr:spPr>
        <a:xfrm>
          <a:off x="247650" y="1866900"/>
          <a:ext cx="8105776" cy="7905750"/>
        </a:xfrm>
        <a:prstGeom prst="rect">
          <a:avLst/>
        </a:prstGeom>
      </xdr:spPr>
    </xdr:pic>
    <xdr:clientData/>
  </xdr:twoCellAnchor>
  <xdr:twoCellAnchor>
    <xdr:from>
      <xdr:col>1</xdr:col>
      <xdr:colOff>9525</xdr:colOff>
      <xdr:row>0</xdr:row>
      <xdr:rowOff>57150</xdr:rowOff>
    </xdr:from>
    <xdr:to>
      <xdr:col>7</xdr:col>
      <xdr:colOff>1483637</xdr:colOff>
      <xdr:row>0</xdr:row>
      <xdr:rowOff>266701</xdr:rowOff>
    </xdr:to>
    <xdr:grpSp>
      <xdr:nvGrpSpPr>
        <xdr:cNvPr id="45" name="Group 44">
          <a:extLst>
            <a:ext uri="{FF2B5EF4-FFF2-40B4-BE49-F238E27FC236}">
              <a16:creationId xmlns:a16="http://schemas.microsoft.com/office/drawing/2014/main" id="{609FECD0-7D6A-44AE-8C89-D8A1A8DCDC88}"/>
            </a:ext>
          </a:extLst>
        </xdr:cNvPr>
        <xdr:cNvGrpSpPr/>
      </xdr:nvGrpSpPr>
      <xdr:grpSpPr>
        <a:xfrm>
          <a:off x="241300" y="57150"/>
          <a:ext cx="10202187" cy="209551"/>
          <a:chOff x="228875" y="47431"/>
          <a:chExt cx="10107710" cy="201430"/>
        </a:xfrm>
      </xdr:grpSpPr>
      <xdr:sp macro="" textlink="">
        <xdr:nvSpPr>
          <xdr:cNvPr id="46" name="Rectangle: Rounded Corners 45">
            <a:hlinkClick xmlns:r="http://schemas.openxmlformats.org/officeDocument/2006/relationships" r:id="rId3"/>
            <a:extLst>
              <a:ext uri="{FF2B5EF4-FFF2-40B4-BE49-F238E27FC236}">
                <a16:creationId xmlns:a16="http://schemas.microsoft.com/office/drawing/2014/main" id="{E55F8202-C423-9F3A-77ED-38C07700880A}"/>
              </a:ext>
            </a:extLst>
          </xdr:cNvPr>
          <xdr:cNvSpPr>
            <a:spLocks/>
          </xdr:cNvSpPr>
        </xdr:nvSpPr>
        <xdr:spPr>
          <a:xfrm>
            <a:off x="228875" y="47431"/>
            <a:ext cx="1221593" cy="201048"/>
          </a:xfrm>
          <a:prstGeom prst="roundRect">
            <a:avLst/>
          </a:prstGeom>
          <a:solidFill>
            <a:srgbClr val="0070C0"/>
          </a:solidFill>
          <a:ln>
            <a:solidFill>
              <a:srgbClr val="0070C0"/>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a:t>Return to Top</a:t>
            </a:r>
          </a:p>
        </xdr:txBody>
      </xdr:sp>
      <xdr:sp macro="[0]!ROI_QUEST_PRINT" textlink="">
        <xdr:nvSpPr>
          <xdr:cNvPr id="47" name="Rectangle: Rounded Corners 46">
            <a:hlinkClick xmlns:r="http://schemas.openxmlformats.org/officeDocument/2006/relationships" r:id="rId4"/>
            <a:extLst>
              <a:ext uri="{FF2B5EF4-FFF2-40B4-BE49-F238E27FC236}">
                <a16:creationId xmlns:a16="http://schemas.microsoft.com/office/drawing/2014/main" id="{B3941FBF-F87F-7F11-06E7-BB88D8F571AA}"/>
              </a:ext>
            </a:extLst>
          </xdr:cNvPr>
          <xdr:cNvSpPr>
            <a:spLocks/>
          </xdr:cNvSpPr>
        </xdr:nvSpPr>
        <xdr:spPr>
          <a:xfrm>
            <a:off x="4031272" y="47431"/>
            <a:ext cx="1217212" cy="201430"/>
          </a:xfrm>
          <a:prstGeom prst="roundRect">
            <a:avLst/>
          </a:prstGeom>
          <a:solidFill>
            <a:srgbClr val="E85E02"/>
          </a:solidFill>
          <a:ln>
            <a:solidFill>
              <a:srgbClr val="E85E02"/>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a:t>Cost</a:t>
            </a:r>
            <a:r>
              <a:rPr lang="en-US" sz="1100" baseline="0"/>
              <a:t> of Vacancy</a:t>
            </a:r>
            <a:endParaRPr lang="en-US" sz="1100"/>
          </a:p>
        </xdr:txBody>
      </xdr:sp>
      <xdr:sp macro="[0]!ROI_QUEST_PRINT" textlink="">
        <xdr:nvSpPr>
          <xdr:cNvPr id="48" name="Rectangle: Rounded Corners 47">
            <a:hlinkClick xmlns:r="http://schemas.openxmlformats.org/officeDocument/2006/relationships" r:id="rId5"/>
            <a:extLst>
              <a:ext uri="{FF2B5EF4-FFF2-40B4-BE49-F238E27FC236}">
                <a16:creationId xmlns:a16="http://schemas.microsoft.com/office/drawing/2014/main" id="{A74F271F-D394-12D9-CCD1-0945877484F9}"/>
              </a:ext>
            </a:extLst>
          </xdr:cNvPr>
          <xdr:cNvSpPr>
            <a:spLocks/>
          </xdr:cNvSpPr>
        </xdr:nvSpPr>
        <xdr:spPr>
          <a:xfrm>
            <a:off x="5314919" y="47431"/>
            <a:ext cx="1212831" cy="201430"/>
          </a:xfrm>
          <a:prstGeom prst="roundRect">
            <a:avLst/>
          </a:prstGeom>
          <a:solidFill>
            <a:srgbClr val="E85E02"/>
          </a:solidFill>
          <a:ln>
            <a:solidFill>
              <a:srgbClr val="E85E02"/>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a:t>Cost</a:t>
            </a:r>
            <a:r>
              <a:rPr lang="en-US" sz="1100" baseline="0"/>
              <a:t> of Turnover</a:t>
            </a:r>
            <a:endParaRPr lang="en-US" sz="1100"/>
          </a:p>
        </xdr:txBody>
      </xdr:sp>
      <xdr:sp macro="[0]!ROI_QUEST_PRINT" textlink="">
        <xdr:nvSpPr>
          <xdr:cNvPr id="49" name="Rectangle: Rounded Corners 48">
            <a:hlinkClick xmlns:r="http://schemas.openxmlformats.org/officeDocument/2006/relationships" r:id="rId6"/>
            <a:extLst>
              <a:ext uri="{FF2B5EF4-FFF2-40B4-BE49-F238E27FC236}">
                <a16:creationId xmlns:a16="http://schemas.microsoft.com/office/drawing/2014/main" id="{733E5EE7-B862-9E76-667D-F9C3ED19CD3F}"/>
              </a:ext>
            </a:extLst>
          </xdr:cNvPr>
          <xdr:cNvSpPr>
            <a:spLocks/>
          </xdr:cNvSpPr>
        </xdr:nvSpPr>
        <xdr:spPr>
          <a:xfrm>
            <a:off x="1503649" y="47431"/>
            <a:ext cx="1212330" cy="201430"/>
          </a:xfrm>
          <a:prstGeom prst="roundRect">
            <a:avLst/>
          </a:prstGeom>
          <a:solidFill>
            <a:srgbClr val="00B050"/>
          </a:solidFill>
          <a:ln>
            <a:solidFill>
              <a:srgbClr val="00B050"/>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a:t>Questionnaire</a:t>
            </a:r>
          </a:p>
        </xdr:txBody>
      </xdr:sp>
      <xdr:sp macro="[0]!ROI_QUEST_PRINT" textlink="">
        <xdr:nvSpPr>
          <xdr:cNvPr id="50" name="Rectangle: Rounded Corners 49">
            <a:hlinkClick xmlns:r="http://schemas.openxmlformats.org/officeDocument/2006/relationships" r:id="rId7"/>
            <a:extLst>
              <a:ext uri="{FF2B5EF4-FFF2-40B4-BE49-F238E27FC236}">
                <a16:creationId xmlns:a16="http://schemas.microsoft.com/office/drawing/2014/main" id="{C35BBDD5-03C8-8EE1-42B6-CA99323B7D48}"/>
              </a:ext>
            </a:extLst>
          </xdr:cNvPr>
          <xdr:cNvSpPr>
            <a:spLocks/>
          </xdr:cNvSpPr>
        </xdr:nvSpPr>
        <xdr:spPr>
          <a:xfrm>
            <a:off x="2768929" y="47431"/>
            <a:ext cx="1208450" cy="201430"/>
          </a:xfrm>
          <a:prstGeom prst="roundRect">
            <a:avLst/>
          </a:prstGeom>
          <a:solidFill>
            <a:srgbClr val="00B050"/>
          </a:solidFill>
          <a:ln>
            <a:solidFill>
              <a:srgbClr val="00B050"/>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a:t>ROI Summary</a:t>
            </a:r>
          </a:p>
        </xdr:txBody>
      </xdr:sp>
      <xdr:sp macro="[0]!ROI_QUEST_PRINT" textlink="">
        <xdr:nvSpPr>
          <xdr:cNvPr id="51" name="Rectangle: Rounded Corners 50">
            <a:hlinkClick xmlns:r="http://schemas.openxmlformats.org/officeDocument/2006/relationships" r:id="rId8"/>
            <a:extLst>
              <a:ext uri="{FF2B5EF4-FFF2-40B4-BE49-F238E27FC236}">
                <a16:creationId xmlns:a16="http://schemas.microsoft.com/office/drawing/2014/main" id="{E1E4741B-D2FC-BB65-FB86-73436BAE9223}"/>
              </a:ext>
            </a:extLst>
          </xdr:cNvPr>
          <xdr:cNvSpPr>
            <a:spLocks/>
          </xdr:cNvSpPr>
        </xdr:nvSpPr>
        <xdr:spPr>
          <a:xfrm>
            <a:off x="6580685" y="47431"/>
            <a:ext cx="1221593" cy="201430"/>
          </a:xfrm>
          <a:prstGeom prst="roundRect">
            <a:avLst/>
          </a:prstGeom>
          <a:solidFill>
            <a:srgbClr val="E85E02"/>
          </a:solidFill>
          <a:ln>
            <a:solidFill>
              <a:srgbClr val="E85E02"/>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a:t>Subsidies</a:t>
            </a:r>
          </a:p>
        </xdr:txBody>
      </xdr:sp>
      <xdr:sp macro="[0]!ROI_QUEST_PRINT" textlink="">
        <xdr:nvSpPr>
          <xdr:cNvPr id="52" name="Rectangle: Rounded Corners 51">
            <a:hlinkClick xmlns:r="http://schemas.openxmlformats.org/officeDocument/2006/relationships" r:id="rId3"/>
            <a:extLst>
              <a:ext uri="{FF2B5EF4-FFF2-40B4-BE49-F238E27FC236}">
                <a16:creationId xmlns:a16="http://schemas.microsoft.com/office/drawing/2014/main" id="{8E9951EF-674E-ACB4-0485-ADE2373DD85C}"/>
              </a:ext>
            </a:extLst>
          </xdr:cNvPr>
          <xdr:cNvSpPr>
            <a:spLocks noChangeAspect="1"/>
          </xdr:cNvSpPr>
        </xdr:nvSpPr>
        <xdr:spPr>
          <a:xfrm>
            <a:off x="7853112" y="47431"/>
            <a:ext cx="1217212" cy="192024"/>
          </a:xfrm>
          <a:prstGeom prst="roundRect">
            <a:avLst/>
          </a:prstGeom>
          <a:solidFill>
            <a:srgbClr val="E85E02"/>
          </a:solidFill>
          <a:ln>
            <a:solidFill>
              <a:srgbClr val="E85E02"/>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a:t>WOTC</a:t>
            </a:r>
          </a:p>
        </xdr:txBody>
      </xdr:sp>
      <xdr:sp macro="[0]!ROI_QUEST_PRINT" textlink="">
        <xdr:nvSpPr>
          <xdr:cNvPr id="53" name="Rectangle: Rounded Corners 52">
            <a:hlinkClick xmlns:r="http://schemas.openxmlformats.org/officeDocument/2006/relationships" r:id="rId9"/>
            <a:extLst>
              <a:ext uri="{FF2B5EF4-FFF2-40B4-BE49-F238E27FC236}">
                <a16:creationId xmlns:a16="http://schemas.microsoft.com/office/drawing/2014/main" id="{518AC734-194D-5D4A-8099-662724AC7A4E}"/>
              </a:ext>
            </a:extLst>
          </xdr:cNvPr>
          <xdr:cNvSpPr>
            <a:spLocks noChangeAspect="1"/>
          </xdr:cNvSpPr>
        </xdr:nvSpPr>
        <xdr:spPr>
          <a:xfrm>
            <a:off x="9119373" y="47625"/>
            <a:ext cx="1217212" cy="192024"/>
          </a:xfrm>
          <a:prstGeom prst="roundRect">
            <a:avLst/>
          </a:prstGeom>
          <a:solidFill>
            <a:srgbClr val="E85E02"/>
          </a:solidFill>
          <a:ln>
            <a:solidFill>
              <a:srgbClr val="E85E02"/>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a:t>FL EL Tax Credit</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1247775</xdr:colOff>
      <xdr:row>1</xdr:row>
      <xdr:rowOff>238125</xdr:rowOff>
    </xdr:from>
    <xdr:to>
      <xdr:col>5</xdr:col>
      <xdr:colOff>485774</xdr:colOff>
      <xdr:row>2</xdr:row>
      <xdr:rowOff>0</xdr:rowOff>
    </xdr:to>
    <xdr:sp macro="" textlink="">
      <xdr:nvSpPr>
        <xdr:cNvPr id="2" name="TextBox 1">
          <a:extLst>
            <a:ext uri="{FF2B5EF4-FFF2-40B4-BE49-F238E27FC236}">
              <a16:creationId xmlns:a16="http://schemas.microsoft.com/office/drawing/2014/main" id="{E9B814DC-711E-4D6A-AF1E-41AB285F51C7}"/>
            </a:ext>
          </a:extLst>
        </xdr:cNvPr>
        <xdr:cNvSpPr txBox="1"/>
      </xdr:nvSpPr>
      <xdr:spPr>
        <a:xfrm>
          <a:off x="1752600" y="552450"/>
          <a:ext cx="4667249" cy="666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u="sng">
              <a:solidFill>
                <a:srgbClr val="0056B4"/>
              </a:solidFill>
            </a:rPr>
            <a:t>RETURN ON INVESTMENT</a:t>
          </a:r>
          <a:r>
            <a:rPr lang="en-US" sz="1600" b="1" u="sng" baseline="0">
              <a:solidFill>
                <a:srgbClr val="0056B4"/>
              </a:solidFill>
            </a:rPr>
            <a:t> CALCULATOR</a:t>
          </a:r>
        </a:p>
        <a:p>
          <a:pPr algn="ctr"/>
          <a:r>
            <a:rPr lang="en-US" sz="1600" b="1" u="none" baseline="0">
              <a:solidFill>
                <a:srgbClr val="0056B4"/>
              </a:solidFill>
            </a:rPr>
            <a:t>FLORIDA EXPERIENTIAL LEARNING TAX CREDIT</a:t>
          </a:r>
        </a:p>
        <a:p>
          <a:pPr algn="ctr"/>
          <a:endParaRPr lang="en-US" sz="1600"/>
        </a:p>
      </xdr:txBody>
    </xdr:sp>
    <xdr:clientData/>
  </xdr:twoCellAnchor>
  <xdr:twoCellAnchor editAs="oneCell">
    <xdr:from>
      <xdr:col>0</xdr:col>
      <xdr:colOff>180975</xdr:colOff>
      <xdr:row>1</xdr:row>
      <xdr:rowOff>276225</xdr:rowOff>
    </xdr:from>
    <xdr:to>
      <xdr:col>2</xdr:col>
      <xdr:colOff>1360640</xdr:colOff>
      <xdr:row>1</xdr:row>
      <xdr:rowOff>877961</xdr:rowOff>
    </xdr:to>
    <xdr:pic>
      <xdr:nvPicPr>
        <xdr:cNvPr id="25" name="Picture 24" descr="CareerSource Tampa Bay | Employment Services: Agencies, Consulting,  Coaching, Traini">
          <a:extLst>
            <a:ext uri="{FF2B5EF4-FFF2-40B4-BE49-F238E27FC236}">
              <a16:creationId xmlns:a16="http://schemas.microsoft.com/office/drawing/2014/main" id="{F0146F68-BC5E-4A8C-AFBE-F27728AC4914}"/>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817" b="8627"/>
        <a:stretch/>
      </xdr:blipFill>
      <xdr:spPr bwMode="auto">
        <a:xfrm>
          <a:off x="180975" y="590550"/>
          <a:ext cx="1646390" cy="6017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647699</xdr:colOff>
      <xdr:row>19</xdr:row>
      <xdr:rowOff>57149</xdr:rowOff>
    </xdr:from>
    <xdr:to>
      <xdr:col>2</xdr:col>
      <xdr:colOff>2419350</xdr:colOff>
      <xdr:row>21</xdr:row>
      <xdr:rowOff>95250</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E6A32E57-C248-7A09-8656-6297345736FA}"/>
            </a:ext>
          </a:extLst>
        </xdr:cNvPr>
        <xdr:cNvSpPr/>
      </xdr:nvSpPr>
      <xdr:spPr>
        <a:xfrm>
          <a:off x="1152524" y="5314949"/>
          <a:ext cx="1771651" cy="361951"/>
        </a:xfrm>
        <a:prstGeom prst="roundRect">
          <a:avLst/>
        </a:prstGeom>
        <a:solidFill>
          <a:srgbClr val="D16309"/>
        </a:solidFill>
        <a:scene3d>
          <a:camera prst="orthographicFront"/>
          <a:lightRig rig="threePt" dir="t"/>
        </a:scene3d>
        <a:sp3d>
          <a:bevelT/>
        </a:sp3d>
      </xdr:spPr>
      <xdr:style>
        <a:lnRef idx="1">
          <a:schemeClr val="accent6"/>
        </a:lnRef>
        <a:fillRef idx="3">
          <a:schemeClr val="accent6"/>
        </a:fillRef>
        <a:effectRef idx="2">
          <a:schemeClr val="accent6"/>
        </a:effectRef>
        <a:fontRef idx="minor">
          <a:schemeClr val="lt1"/>
        </a:fontRef>
      </xdr:style>
      <xdr:txBody>
        <a:bodyPr rtlCol="0" anchor="ctr"/>
        <a:lstStyle/>
        <a:p>
          <a:pPr algn="ctr"/>
          <a:r>
            <a:rPr lang="en-US" sz="1100" b="1"/>
            <a:t>FL Experiential Learning Tax Credit Application</a:t>
          </a:r>
        </a:p>
      </xdr:txBody>
    </xdr:sp>
    <xdr:clientData/>
  </xdr:twoCellAnchor>
  <xdr:twoCellAnchor>
    <xdr:from>
      <xdr:col>1</xdr:col>
      <xdr:colOff>9525</xdr:colOff>
      <xdr:row>0</xdr:row>
      <xdr:rowOff>57150</xdr:rowOff>
    </xdr:from>
    <xdr:to>
      <xdr:col>12</xdr:col>
      <xdr:colOff>178712</xdr:colOff>
      <xdr:row>0</xdr:row>
      <xdr:rowOff>266701</xdr:rowOff>
    </xdr:to>
    <xdr:grpSp>
      <xdr:nvGrpSpPr>
        <xdr:cNvPr id="26" name="Group 25">
          <a:extLst>
            <a:ext uri="{FF2B5EF4-FFF2-40B4-BE49-F238E27FC236}">
              <a16:creationId xmlns:a16="http://schemas.microsoft.com/office/drawing/2014/main" id="{27A2072E-D3CC-45CB-9191-041F2998810D}"/>
            </a:ext>
          </a:extLst>
        </xdr:cNvPr>
        <xdr:cNvGrpSpPr/>
      </xdr:nvGrpSpPr>
      <xdr:grpSpPr>
        <a:xfrm>
          <a:off x="241300" y="57150"/>
          <a:ext cx="10132337" cy="209551"/>
          <a:chOff x="228875" y="47431"/>
          <a:chExt cx="10107710" cy="201430"/>
        </a:xfrm>
      </xdr:grpSpPr>
      <xdr:sp macro="" textlink="">
        <xdr:nvSpPr>
          <xdr:cNvPr id="27" name="Rectangle: Rounded Corners 26">
            <a:hlinkClick xmlns:r="http://schemas.openxmlformats.org/officeDocument/2006/relationships" r:id="rId3"/>
            <a:extLst>
              <a:ext uri="{FF2B5EF4-FFF2-40B4-BE49-F238E27FC236}">
                <a16:creationId xmlns:a16="http://schemas.microsoft.com/office/drawing/2014/main" id="{8C636EB1-9FC6-487A-FD10-9F823E35BD93}"/>
              </a:ext>
            </a:extLst>
          </xdr:cNvPr>
          <xdr:cNvSpPr>
            <a:spLocks/>
          </xdr:cNvSpPr>
        </xdr:nvSpPr>
        <xdr:spPr>
          <a:xfrm>
            <a:off x="228875" y="47431"/>
            <a:ext cx="1221593" cy="201048"/>
          </a:xfrm>
          <a:prstGeom prst="roundRect">
            <a:avLst/>
          </a:prstGeom>
          <a:solidFill>
            <a:srgbClr val="0070C0"/>
          </a:solidFill>
          <a:ln>
            <a:solidFill>
              <a:srgbClr val="0070C0"/>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a:t>Return to Top</a:t>
            </a:r>
          </a:p>
        </xdr:txBody>
      </xdr:sp>
      <xdr:sp macro="[0]!ROI_QUEST_PRINT" textlink="">
        <xdr:nvSpPr>
          <xdr:cNvPr id="28" name="Rectangle: Rounded Corners 27">
            <a:hlinkClick xmlns:r="http://schemas.openxmlformats.org/officeDocument/2006/relationships" r:id="rId4"/>
            <a:extLst>
              <a:ext uri="{FF2B5EF4-FFF2-40B4-BE49-F238E27FC236}">
                <a16:creationId xmlns:a16="http://schemas.microsoft.com/office/drawing/2014/main" id="{9F5A5BF4-6CF8-5828-3BCB-893895002811}"/>
              </a:ext>
            </a:extLst>
          </xdr:cNvPr>
          <xdr:cNvSpPr>
            <a:spLocks/>
          </xdr:cNvSpPr>
        </xdr:nvSpPr>
        <xdr:spPr>
          <a:xfrm>
            <a:off x="4031272" y="47431"/>
            <a:ext cx="1217212" cy="201430"/>
          </a:xfrm>
          <a:prstGeom prst="roundRect">
            <a:avLst/>
          </a:prstGeom>
          <a:solidFill>
            <a:srgbClr val="E85E02"/>
          </a:solidFill>
          <a:ln>
            <a:solidFill>
              <a:srgbClr val="E85E02"/>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a:t>Cost</a:t>
            </a:r>
            <a:r>
              <a:rPr lang="en-US" sz="1100" baseline="0"/>
              <a:t> of Vacancy</a:t>
            </a:r>
            <a:endParaRPr lang="en-US" sz="1100"/>
          </a:p>
        </xdr:txBody>
      </xdr:sp>
      <xdr:sp macro="[0]!ROI_QUEST_PRINT" textlink="">
        <xdr:nvSpPr>
          <xdr:cNvPr id="29" name="Rectangle: Rounded Corners 28">
            <a:hlinkClick xmlns:r="http://schemas.openxmlformats.org/officeDocument/2006/relationships" r:id="rId5"/>
            <a:extLst>
              <a:ext uri="{FF2B5EF4-FFF2-40B4-BE49-F238E27FC236}">
                <a16:creationId xmlns:a16="http://schemas.microsoft.com/office/drawing/2014/main" id="{F92F832B-DAC7-68E8-192A-5F2143E370C5}"/>
              </a:ext>
            </a:extLst>
          </xdr:cNvPr>
          <xdr:cNvSpPr>
            <a:spLocks/>
          </xdr:cNvSpPr>
        </xdr:nvSpPr>
        <xdr:spPr>
          <a:xfrm>
            <a:off x="5314919" y="47431"/>
            <a:ext cx="1212831" cy="201430"/>
          </a:xfrm>
          <a:prstGeom prst="roundRect">
            <a:avLst/>
          </a:prstGeom>
          <a:solidFill>
            <a:srgbClr val="E85E02"/>
          </a:solidFill>
          <a:ln>
            <a:solidFill>
              <a:srgbClr val="E85E02"/>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a:t>Cost</a:t>
            </a:r>
            <a:r>
              <a:rPr lang="en-US" sz="1100" baseline="0"/>
              <a:t> of Turnover</a:t>
            </a:r>
            <a:endParaRPr lang="en-US" sz="1100"/>
          </a:p>
        </xdr:txBody>
      </xdr:sp>
      <xdr:sp macro="[0]!ROI_QUEST_PRINT" textlink="">
        <xdr:nvSpPr>
          <xdr:cNvPr id="30" name="Rectangle: Rounded Corners 29">
            <a:hlinkClick xmlns:r="http://schemas.openxmlformats.org/officeDocument/2006/relationships" r:id="rId6"/>
            <a:extLst>
              <a:ext uri="{FF2B5EF4-FFF2-40B4-BE49-F238E27FC236}">
                <a16:creationId xmlns:a16="http://schemas.microsoft.com/office/drawing/2014/main" id="{7B8F6AA3-E2C2-A719-70DF-98A242E50527}"/>
              </a:ext>
            </a:extLst>
          </xdr:cNvPr>
          <xdr:cNvSpPr>
            <a:spLocks/>
          </xdr:cNvSpPr>
        </xdr:nvSpPr>
        <xdr:spPr>
          <a:xfrm>
            <a:off x="1503649" y="47431"/>
            <a:ext cx="1212330" cy="201430"/>
          </a:xfrm>
          <a:prstGeom prst="roundRect">
            <a:avLst/>
          </a:prstGeom>
          <a:solidFill>
            <a:srgbClr val="00B050"/>
          </a:solidFill>
          <a:ln>
            <a:solidFill>
              <a:srgbClr val="00B050"/>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a:t>Questionnaire</a:t>
            </a:r>
          </a:p>
        </xdr:txBody>
      </xdr:sp>
      <xdr:sp macro="[0]!ROI_QUEST_PRINT" textlink="">
        <xdr:nvSpPr>
          <xdr:cNvPr id="31" name="Rectangle: Rounded Corners 30">
            <a:hlinkClick xmlns:r="http://schemas.openxmlformats.org/officeDocument/2006/relationships" r:id="rId7"/>
            <a:extLst>
              <a:ext uri="{FF2B5EF4-FFF2-40B4-BE49-F238E27FC236}">
                <a16:creationId xmlns:a16="http://schemas.microsoft.com/office/drawing/2014/main" id="{FE646F9F-0FCF-5B09-EF88-DFB5FC2BAD1D}"/>
              </a:ext>
            </a:extLst>
          </xdr:cNvPr>
          <xdr:cNvSpPr>
            <a:spLocks/>
          </xdr:cNvSpPr>
        </xdr:nvSpPr>
        <xdr:spPr>
          <a:xfrm>
            <a:off x="2768929" y="47431"/>
            <a:ext cx="1208450" cy="201430"/>
          </a:xfrm>
          <a:prstGeom prst="roundRect">
            <a:avLst/>
          </a:prstGeom>
          <a:solidFill>
            <a:srgbClr val="00B050"/>
          </a:solidFill>
          <a:ln>
            <a:solidFill>
              <a:srgbClr val="00B050"/>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a:t>ROI Summary</a:t>
            </a:r>
          </a:p>
        </xdr:txBody>
      </xdr:sp>
      <xdr:sp macro="[0]!ROI_QUEST_PRINT" textlink="">
        <xdr:nvSpPr>
          <xdr:cNvPr id="32" name="Rectangle: Rounded Corners 31">
            <a:hlinkClick xmlns:r="http://schemas.openxmlformats.org/officeDocument/2006/relationships" r:id="rId8"/>
            <a:extLst>
              <a:ext uri="{FF2B5EF4-FFF2-40B4-BE49-F238E27FC236}">
                <a16:creationId xmlns:a16="http://schemas.microsoft.com/office/drawing/2014/main" id="{A7376B92-341A-ED69-8747-00DB8C7162E4}"/>
              </a:ext>
            </a:extLst>
          </xdr:cNvPr>
          <xdr:cNvSpPr>
            <a:spLocks/>
          </xdr:cNvSpPr>
        </xdr:nvSpPr>
        <xdr:spPr>
          <a:xfrm>
            <a:off x="6580685" y="47431"/>
            <a:ext cx="1221593" cy="201430"/>
          </a:xfrm>
          <a:prstGeom prst="roundRect">
            <a:avLst/>
          </a:prstGeom>
          <a:solidFill>
            <a:srgbClr val="E85E02"/>
          </a:solidFill>
          <a:ln>
            <a:solidFill>
              <a:srgbClr val="E85E02"/>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a:t>Subsidies</a:t>
            </a:r>
          </a:p>
        </xdr:txBody>
      </xdr:sp>
      <xdr:sp macro="[0]!ROI_QUEST_PRINT" textlink="">
        <xdr:nvSpPr>
          <xdr:cNvPr id="33" name="Rectangle: Rounded Corners 32">
            <a:hlinkClick xmlns:r="http://schemas.openxmlformats.org/officeDocument/2006/relationships" r:id="rId9"/>
            <a:extLst>
              <a:ext uri="{FF2B5EF4-FFF2-40B4-BE49-F238E27FC236}">
                <a16:creationId xmlns:a16="http://schemas.microsoft.com/office/drawing/2014/main" id="{2F057FEA-490F-9607-66EE-BDD6DC7142F2}"/>
              </a:ext>
            </a:extLst>
          </xdr:cNvPr>
          <xdr:cNvSpPr>
            <a:spLocks noChangeAspect="1"/>
          </xdr:cNvSpPr>
        </xdr:nvSpPr>
        <xdr:spPr>
          <a:xfrm>
            <a:off x="7853112" y="47431"/>
            <a:ext cx="1217212" cy="192024"/>
          </a:xfrm>
          <a:prstGeom prst="roundRect">
            <a:avLst/>
          </a:prstGeom>
          <a:solidFill>
            <a:srgbClr val="E85E02"/>
          </a:solidFill>
          <a:ln>
            <a:solidFill>
              <a:srgbClr val="E85E02"/>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a:t>WOTC</a:t>
            </a:r>
          </a:p>
        </xdr:txBody>
      </xdr:sp>
      <xdr:sp macro="[0]!ROI_QUEST_PRINT" textlink="">
        <xdr:nvSpPr>
          <xdr:cNvPr id="34" name="Rectangle: Rounded Corners 33">
            <a:hlinkClick xmlns:r="http://schemas.openxmlformats.org/officeDocument/2006/relationships" r:id="rId3"/>
            <a:extLst>
              <a:ext uri="{FF2B5EF4-FFF2-40B4-BE49-F238E27FC236}">
                <a16:creationId xmlns:a16="http://schemas.microsoft.com/office/drawing/2014/main" id="{BE288426-E1BA-86B0-8714-486853D8A559}"/>
              </a:ext>
            </a:extLst>
          </xdr:cNvPr>
          <xdr:cNvSpPr>
            <a:spLocks noChangeAspect="1"/>
          </xdr:cNvSpPr>
        </xdr:nvSpPr>
        <xdr:spPr>
          <a:xfrm>
            <a:off x="9119373" y="47625"/>
            <a:ext cx="1217212" cy="192024"/>
          </a:xfrm>
          <a:prstGeom prst="roundRect">
            <a:avLst/>
          </a:prstGeom>
          <a:solidFill>
            <a:srgbClr val="E85E02"/>
          </a:solidFill>
          <a:ln>
            <a:solidFill>
              <a:srgbClr val="E85E02"/>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a:t>FL EL Tax Credit</a:t>
            </a:r>
          </a:p>
        </xdr:txBody>
      </xdr:sp>
    </xdr:grp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hyperlink" Target="http://www.floridajobs.org/docs/default-source/office-of-workforce-services/wotc-tax-credit-calculation-chart.pdf?sfvrsn=76a773b0_2" TargetMode="External"/><Relationship Id="rId1" Type="http://schemas.openxmlformats.org/officeDocument/2006/relationships/hyperlink" Target="https://www.dol.gov/agencies/eta/wotc" TargetMode="Externa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41D08-1A07-45E7-8F27-2629B70FBE9A}">
  <sheetPr codeName="Sheet1">
    <pageSetUpPr autoPageBreaks="0"/>
  </sheetPr>
  <dimension ref="A1:I261"/>
  <sheetViews>
    <sheetView showGridLines="0" showRowColHeaders="0" tabSelected="1" zoomScaleNormal="100" workbookViewId="0">
      <pane ySplit="3" topLeftCell="A4" activePane="bottomLeft" state="frozenSplit"/>
      <selection pane="bottomLeft" activeCell="A4" sqref="A4"/>
    </sheetView>
  </sheetViews>
  <sheetFormatPr defaultRowHeight="12.75"/>
  <cols>
    <col min="1" max="1" width="3" customWidth="1"/>
    <col min="2" max="2" width="4" style="62" customWidth="1"/>
    <col min="3" max="3" width="57.25" customWidth="1"/>
    <col min="4" max="4" width="16.25" customWidth="1"/>
    <col min="5" max="5" width="9.25" customWidth="1"/>
    <col min="7" max="7" width="10" customWidth="1"/>
    <col min="8" max="8" width="9.625" customWidth="1"/>
  </cols>
  <sheetData>
    <row r="1" spans="1:9" ht="24.75" customHeight="1"/>
    <row r="2" spans="1:9" ht="71.25" customHeight="1"/>
    <row r="3" spans="1:9">
      <c r="B3"/>
    </row>
    <row r="4" spans="1:9">
      <c r="A4" s="132" t="s">
        <v>201</v>
      </c>
      <c r="B4" s="131" t="s">
        <v>146</v>
      </c>
      <c r="C4" s="132"/>
      <c r="D4" s="133"/>
    </row>
    <row r="5" spans="1:9">
      <c r="B5" s="60"/>
      <c r="C5" s="57"/>
      <c r="D5" s="53"/>
    </row>
    <row r="6" spans="1:9" ht="27.75" customHeight="1">
      <c r="B6" s="95">
        <v>1</v>
      </c>
      <c r="C6" s="100" t="s">
        <v>121</v>
      </c>
    </row>
    <row r="7" spans="1:9">
      <c r="B7" s="95"/>
    </row>
    <row r="8" spans="1:9" ht="25.5">
      <c r="B8" s="95">
        <v>2</v>
      </c>
      <c r="C8" s="51" t="s">
        <v>79</v>
      </c>
    </row>
    <row r="9" spans="1:9">
      <c r="B9" s="56"/>
    </row>
    <row r="10" spans="1:9">
      <c r="A10" s="132" t="s">
        <v>202</v>
      </c>
      <c r="B10" s="131" t="s">
        <v>76</v>
      </c>
      <c r="C10" s="134"/>
      <c r="D10" s="135"/>
    </row>
    <row r="11" spans="1:9">
      <c r="B11" s="60"/>
      <c r="C11" s="57"/>
      <c r="D11" s="53"/>
    </row>
    <row r="12" spans="1:9" ht="25.5">
      <c r="B12" s="95">
        <v>1</v>
      </c>
      <c r="C12" s="100" t="s">
        <v>168</v>
      </c>
      <c r="D12" s="191">
        <v>3</v>
      </c>
    </row>
    <row r="13" spans="1:9">
      <c r="B13" s="95"/>
      <c r="C13" s="99"/>
    </row>
    <row r="14" spans="1:9" ht="57" customHeight="1">
      <c r="B14" s="95">
        <v>2</v>
      </c>
      <c r="C14" s="100" t="s">
        <v>212</v>
      </c>
      <c r="D14" s="136" t="s">
        <v>116</v>
      </c>
      <c r="E14" s="137" t="s">
        <v>21</v>
      </c>
      <c r="F14" s="137" t="s">
        <v>22</v>
      </c>
      <c r="G14" s="137" t="s">
        <v>23</v>
      </c>
      <c r="H14" s="137" t="s">
        <v>24</v>
      </c>
      <c r="I14" s="137" t="s">
        <v>30</v>
      </c>
    </row>
    <row r="15" spans="1:9">
      <c r="B15" s="95"/>
      <c r="C15" s="96"/>
      <c r="D15" s="184" t="s">
        <v>117</v>
      </c>
      <c r="E15" s="192">
        <v>0.5</v>
      </c>
      <c r="F15" s="192">
        <v>1</v>
      </c>
      <c r="G15" s="192">
        <v>1</v>
      </c>
      <c r="H15" s="192">
        <v>1</v>
      </c>
      <c r="I15" s="192">
        <v>1</v>
      </c>
    </row>
    <row r="16" spans="1:9">
      <c r="B16" s="95"/>
      <c r="C16" s="98"/>
      <c r="D16" s="184" t="s">
        <v>118</v>
      </c>
      <c r="E16" s="192">
        <v>0.5</v>
      </c>
      <c r="F16" s="192">
        <v>0.75</v>
      </c>
      <c r="G16" s="192">
        <v>1</v>
      </c>
      <c r="H16" s="192">
        <v>1</v>
      </c>
      <c r="I16" s="192">
        <v>1</v>
      </c>
    </row>
    <row r="17" spans="1:9">
      <c r="B17" s="95"/>
      <c r="C17" s="98"/>
      <c r="D17" s="184" t="s">
        <v>119</v>
      </c>
      <c r="E17" s="192">
        <v>0.5</v>
      </c>
      <c r="F17" s="192">
        <v>0.67</v>
      </c>
      <c r="G17" s="192">
        <v>0.83</v>
      </c>
      <c r="H17" s="192">
        <v>1</v>
      </c>
      <c r="I17" s="192">
        <v>1</v>
      </c>
    </row>
    <row r="18" spans="1:9">
      <c r="B18" s="95"/>
      <c r="C18" s="98"/>
      <c r="D18" s="184" t="s">
        <v>120</v>
      </c>
      <c r="E18" s="193">
        <v>0.5</v>
      </c>
      <c r="F18" s="193">
        <v>0.63</v>
      </c>
      <c r="G18" s="193">
        <v>0.75</v>
      </c>
      <c r="H18" s="193">
        <v>0.88</v>
      </c>
      <c r="I18" s="192">
        <v>1</v>
      </c>
    </row>
    <row r="19" spans="1:9">
      <c r="B19" s="95"/>
      <c r="C19" s="98"/>
    </row>
    <row r="20" spans="1:9" ht="43.15" customHeight="1">
      <c r="B20" s="95">
        <v>3</v>
      </c>
      <c r="C20" s="100" t="s">
        <v>221</v>
      </c>
      <c r="D20" s="137" t="s">
        <v>116</v>
      </c>
      <c r="E20" s="137" t="s">
        <v>21</v>
      </c>
      <c r="F20" s="137" t="s">
        <v>22</v>
      </c>
      <c r="G20" s="137" t="s">
        <v>23</v>
      </c>
      <c r="H20" s="137" t="s">
        <v>24</v>
      </c>
      <c r="I20" s="137" t="s">
        <v>30</v>
      </c>
    </row>
    <row r="21" spans="1:9">
      <c r="B21" s="95"/>
      <c r="C21" s="99"/>
      <c r="D21" s="184" t="s">
        <v>117</v>
      </c>
      <c r="E21" s="192">
        <v>0.5</v>
      </c>
      <c r="F21" s="192">
        <v>1</v>
      </c>
      <c r="G21" s="192">
        <v>1</v>
      </c>
      <c r="H21" s="192">
        <v>1</v>
      </c>
      <c r="I21" s="192">
        <v>1</v>
      </c>
    </row>
    <row r="22" spans="1:9">
      <c r="B22" s="95"/>
      <c r="C22" s="99"/>
      <c r="D22" s="184" t="s">
        <v>118</v>
      </c>
      <c r="E22" s="192">
        <v>0.33</v>
      </c>
      <c r="F22" s="192">
        <v>0.66</v>
      </c>
      <c r="G22" s="192">
        <v>1</v>
      </c>
      <c r="H22" s="192">
        <v>1</v>
      </c>
      <c r="I22" s="192">
        <v>1</v>
      </c>
    </row>
    <row r="23" spans="1:9">
      <c r="B23" s="95"/>
      <c r="C23" s="99"/>
      <c r="D23" s="184" t="s">
        <v>119</v>
      </c>
      <c r="E23" s="192">
        <v>0.25</v>
      </c>
      <c r="F23" s="192">
        <v>0.5</v>
      </c>
      <c r="G23" s="192">
        <v>0.75</v>
      </c>
      <c r="H23" s="192">
        <v>1</v>
      </c>
      <c r="I23" s="192">
        <v>1</v>
      </c>
    </row>
    <row r="24" spans="1:9">
      <c r="B24" s="95"/>
      <c r="C24" s="99"/>
      <c r="D24" s="184" t="s">
        <v>120</v>
      </c>
      <c r="E24" s="193">
        <v>0.2</v>
      </c>
      <c r="F24" s="193">
        <v>0.4</v>
      </c>
      <c r="G24" s="193">
        <v>0.6</v>
      </c>
      <c r="H24" s="193">
        <v>0.8</v>
      </c>
      <c r="I24" s="192">
        <v>1</v>
      </c>
    </row>
    <row r="25" spans="1:9">
      <c r="B25" s="95"/>
      <c r="C25" s="99"/>
    </row>
    <row r="26" spans="1:9">
      <c r="B26" s="95">
        <v>4</v>
      </c>
      <c r="C26" s="96" t="s">
        <v>75</v>
      </c>
      <c r="D26" s="191">
        <v>10</v>
      </c>
    </row>
    <row r="28" spans="1:9">
      <c r="A28" s="132" t="s">
        <v>203</v>
      </c>
      <c r="B28" s="138" t="s">
        <v>29</v>
      </c>
      <c r="C28" s="139"/>
      <c r="D28" s="135"/>
      <c r="F28" s="65"/>
    </row>
    <row r="29" spans="1:9">
      <c r="B29" s="61"/>
      <c r="F29" s="65"/>
    </row>
    <row r="30" spans="1:9">
      <c r="B30" s="95">
        <v>1</v>
      </c>
      <c r="C30" s="97" t="s">
        <v>200</v>
      </c>
      <c r="F30" s="65"/>
    </row>
    <row r="31" spans="1:9" ht="13.9" customHeight="1">
      <c r="B31" s="95"/>
      <c r="C31" s="126" t="s">
        <v>211</v>
      </c>
      <c r="F31" s="65"/>
    </row>
    <row r="32" spans="1:9">
      <c r="B32" s="95"/>
      <c r="C32" s="98" t="s">
        <v>21</v>
      </c>
      <c r="D32" s="244">
        <f>65566/2080*8*52</f>
        <v>13113.2</v>
      </c>
      <c r="F32" s="65"/>
    </row>
    <row r="33" spans="2:6">
      <c r="B33" s="95"/>
      <c r="C33" s="98" t="s">
        <v>22</v>
      </c>
      <c r="D33" s="244">
        <f t="shared" ref="D33:D36" si="0">65566/2080*8*52</f>
        <v>13113.2</v>
      </c>
      <c r="F33" s="65"/>
    </row>
    <row r="34" spans="2:6">
      <c r="B34" s="95"/>
      <c r="C34" s="98" t="s">
        <v>23</v>
      </c>
      <c r="D34" s="244">
        <f t="shared" si="0"/>
        <v>13113.2</v>
      </c>
    </row>
    <row r="35" spans="2:6">
      <c r="B35" s="95"/>
      <c r="C35" s="98" t="s">
        <v>24</v>
      </c>
      <c r="D35" s="244">
        <f t="shared" si="0"/>
        <v>13113.2</v>
      </c>
    </row>
    <row r="36" spans="2:6">
      <c r="B36" s="95"/>
      <c r="C36" s="98" t="s">
        <v>30</v>
      </c>
      <c r="D36" s="244">
        <f t="shared" si="0"/>
        <v>13113.2</v>
      </c>
    </row>
    <row r="37" spans="2:6">
      <c r="B37" s="95"/>
      <c r="C37" s="99"/>
      <c r="D37" s="53"/>
      <c r="F37" s="65"/>
    </row>
    <row r="38" spans="2:6" ht="55.5" customHeight="1">
      <c r="B38" s="95">
        <v>2</v>
      </c>
      <c r="C38" s="100" t="s">
        <v>266</v>
      </c>
      <c r="F38" s="65"/>
    </row>
    <row r="39" spans="2:6">
      <c r="B39" s="95"/>
      <c r="C39" s="98" t="s">
        <v>21</v>
      </c>
      <c r="D39" s="244">
        <v>100000</v>
      </c>
      <c r="F39" s="65"/>
    </row>
    <row r="40" spans="2:6">
      <c r="B40" s="95"/>
      <c r="C40" s="98" t="s">
        <v>22</v>
      </c>
      <c r="D40" s="244">
        <v>5000</v>
      </c>
      <c r="F40" s="65"/>
    </row>
    <row r="41" spans="2:6">
      <c r="B41" s="95"/>
      <c r="C41" s="98" t="s">
        <v>23</v>
      </c>
      <c r="D41" s="244">
        <v>5000</v>
      </c>
    </row>
    <row r="42" spans="2:6">
      <c r="B42" s="95"/>
      <c r="C42" s="98" t="s">
        <v>24</v>
      </c>
      <c r="D42" s="244">
        <v>5000</v>
      </c>
    </row>
    <row r="43" spans="2:6">
      <c r="B43" s="95"/>
      <c r="C43" s="98" t="s">
        <v>30</v>
      </c>
      <c r="D43" s="244">
        <v>5000</v>
      </c>
    </row>
    <row r="44" spans="2:6">
      <c r="B44" s="95"/>
      <c r="C44" s="99"/>
      <c r="D44" s="53"/>
      <c r="F44" s="65"/>
    </row>
    <row r="45" spans="2:6" hidden="1">
      <c r="B45" s="95">
        <v>3</v>
      </c>
      <c r="C45" s="99" t="s">
        <v>128</v>
      </c>
      <c r="F45" s="65"/>
    </row>
    <row r="46" spans="2:6" hidden="1">
      <c r="B46" s="95"/>
      <c r="C46" s="98" t="s">
        <v>21</v>
      </c>
      <c r="D46" s="194">
        <v>0</v>
      </c>
      <c r="F46" s="65"/>
    </row>
    <row r="47" spans="2:6" hidden="1">
      <c r="B47" s="95"/>
      <c r="C47" s="98" t="s">
        <v>22</v>
      </c>
      <c r="D47" s="194">
        <v>0</v>
      </c>
      <c r="F47" s="65"/>
    </row>
    <row r="48" spans="2:6" hidden="1">
      <c r="B48" s="95"/>
      <c r="C48" s="98" t="s">
        <v>23</v>
      </c>
      <c r="D48" s="194">
        <v>0</v>
      </c>
    </row>
    <row r="49" spans="2:6" hidden="1">
      <c r="B49" s="95"/>
      <c r="C49" s="98" t="s">
        <v>24</v>
      </c>
      <c r="D49" s="194">
        <v>0</v>
      </c>
    </row>
    <row r="50" spans="2:6" hidden="1">
      <c r="B50" s="95"/>
      <c r="C50" s="98" t="s">
        <v>30</v>
      </c>
      <c r="D50" s="194">
        <v>0</v>
      </c>
    </row>
    <row r="51" spans="2:6" hidden="1">
      <c r="B51" s="95"/>
      <c r="C51" s="99"/>
      <c r="D51" s="53"/>
      <c r="F51" s="65"/>
    </row>
    <row r="52" spans="2:6" hidden="1">
      <c r="B52" s="95"/>
      <c r="C52" s="99"/>
      <c r="D52" s="53"/>
      <c r="F52" s="65"/>
    </row>
    <row r="53" spans="2:6" ht="25.5" hidden="1">
      <c r="B53" s="95">
        <v>4</v>
      </c>
      <c r="C53" s="100" t="s">
        <v>129</v>
      </c>
      <c r="F53" s="65"/>
    </row>
    <row r="54" spans="2:6" hidden="1">
      <c r="B54" s="95"/>
      <c r="C54" s="98" t="s">
        <v>21</v>
      </c>
      <c r="D54" s="194">
        <v>0</v>
      </c>
      <c r="F54" s="65"/>
    </row>
    <row r="55" spans="2:6" hidden="1">
      <c r="B55" s="95"/>
      <c r="C55" s="98" t="s">
        <v>22</v>
      </c>
      <c r="D55" s="194">
        <v>0</v>
      </c>
      <c r="F55" s="65"/>
    </row>
    <row r="56" spans="2:6" hidden="1">
      <c r="B56" s="95"/>
      <c r="C56" s="98" t="s">
        <v>23</v>
      </c>
      <c r="D56" s="194">
        <v>0</v>
      </c>
    </row>
    <row r="57" spans="2:6" hidden="1">
      <c r="B57" s="95"/>
      <c r="C57" s="98" t="s">
        <v>24</v>
      </c>
      <c r="D57" s="194">
        <v>0</v>
      </c>
    </row>
    <row r="58" spans="2:6" hidden="1">
      <c r="B58" s="95"/>
      <c r="C58" s="98" t="s">
        <v>30</v>
      </c>
      <c r="D58" s="194">
        <v>0</v>
      </c>
    </row>
    <row r="59" spans="2:6" hidden="1">
      <c r="B59" s="95"/>
      <c r="C59" s="99"/>
      <c r="D59" s="53"/>
      <c r="F59" s="65"/>
    </row>
    <row r="60" spans="2:6" hidden="1">
      <c r="B60" s="95"/>
      <c r="C60" s="99"/>
      <c r="D60" s="53"/>
      <c r="F60" s="65"/>
    </row>
    <row r="61" spans="2:6" ht="43.5" customHeight="1">
      <c r="B61" s="95">
        <v>3</v>
      </c>
      <c r="C61" s="100" t="s">
        <v>245</v>
      </c>
      <c r="D61" s="74"/>
      <c r="F61" s="65"/>
    </row>
    <row r="62" spans="2:6">
      <c r="B62" s="95"/>
      <c r="C62" s="52" t="s">
        <v>21</v>
      </c>
      <c r="D62" s="244">
        <v>-140000</v>
      </c>
      <c r="F62" s="65"/>
    </row>
    <row r="63" spans="2:6">
      <c r="B63" s="95"/>
      <c r="C63" s="52" t="s">
        <v>22</v>
      </c>
      <c r="D63" s="244">
        <v>0</v>
      </c>
      <c r="F63" s="65"/>
    </row>
    <row r="64" spans="2:6">
      <c r="B64" s="95"/>
      <c r="C64" s="52" t="s">
        <v>23</v>
      </c>
      <c r="D64" s="244">
        <v>0</v>
      </c>
    </row>
    <row r="65" spans="1:4">
      <c r="B65" s="95"/>
      <c r="C65" s="52" t="s">
        <v>24</v>
      </c>
      <c r="D65" s="244">
        <v>0</v>
      </c>
    </row>
    <row r="66" spans="1:4">
      <c r="B66" s="95"/>
      <c r="C66" s="52" t="s">
        <v>30</v>
      </c>
      <c r="D66" s="244">
        <v>0</v>
      </c>
    </row>
    <row r="67" spans="1:4">
      <c r="B67" s="96"/>
    </row>
    <row r="68" spans="1:4">
      <c r="A68" s="132" t="s">
        <v>204</v>
      </c>
      <c r="B68" s="140" t="s">
        <v>77</v>
      </c>
      <c r="C68" s="139"/>
      <c r="D68" s="135"/>
    </row>
    <row r="69" spans="1:4">
      <c r="B69" s="96"/>
    </row>
    <row r="70" spans="1:4" ht="41.65" customHeight="1">
      <c r="B70" s="95">
        <v>1</v>
      </c>
      <c r="C70" s="100" t="s">
        <v>233</v>
      </c>
      <c r="D70" s="245">
        <v>4683</v>
      </c>
    </row>
    <row r="71" spans="1:4">
      <c r="B71" s="95"/>
      <c r="C71" s="99"/>
      <c r="D71" s="53"/>
    </row>
    <row r="72" spans="1:4" ht="25.5" hidden="1">
      <c r="B72" s="95">
        <v>2</v>
      </c>
      <c r="C72" s="100" t="s">
        <v>151</v>
      </c>
      <c r="D72" s="196">
        <v>0</v>
      </c>
    </row>
    <row r="73" spans="1:4" hidden="1">
      <c r="B73" s="95"/>
      <c r="C73" s="99"/>
      <c r="D73" s="53"/>
    </row>
    <row r="74" spans="1:4" ht="39.75" customHeight="1">
      <c r="B74" s="95">
        <v>2</v>
      </c>
      <c r="C74" s="100" t="s">
        <v>216</v>
      </c>
      <c r="D74" s="245">
        <f>30*2080</f>
        <v>62400</v>
      </c>
    </row>
    <row r="75" spans="1:4">
      <c r="B75" s="95"/>
      <c r="C75" s="99"/>
      <c r="D75" s="53"/>
    </row>
    <row r="76" spans="1:4" ht="25.5" hidden="1">
      <c r="B76" s="95">
        <v>4</v>
      </c>
      <c r="C76" s="100" t="s">
        <v>110</v>
      </c>
      <c r="D76" s="196">
        <v>0</v>
      </c>
    </row>
    <row r="77" spans="1:4" hidden="1">
      <c r="B77" s="95"/>
      <c r="C77" s="99"/>
      <c r="D77" s="53"/>
    </row>
    <row r="78" spans="1:4" ht="16.149999999999999" customHeight="1">
      <c r="B78" s="95">
        <v>3</v>
      </c>
      <c r="C78" s="100" t="s">
        <v>222</v>
      </c>
      <c r="D78" s="197">
        <v>0.32</v>
      </c>
    </row>
    <row r="79" spans="1:4">
      <c r="B79" s="95"/>
      <c r="C79" s="99"/>
      <c r="D79" s="53"/>
    </row>
    <row r="80" spans="1:4" ht="25.5" hidden="1">
      <c r="B80" s="95">
        <v>6</v>
      </c>
      <c r="C80" s="100" t="s">
        <v>80</v>
      </c>
      <c r="D80" s="196">
        <v>0</v>
      </c>
    </row>
    <row r="81" spans="1:4" hidden="1"/>
    <row r="82" spans="1:4">
      <c r="A82" s="132" t="s">
        <v>205</v>
      </c>
      <c r="B82" s="131" t="s">
        <v>78</v>
      </c>
      <c r="C82" s="139"/>
      <c r="D82" s="135"/>
    </row>
    <row r="84" spans="1:4" ht="29.25" customHeight="1">
      <c r="B84" s="95">
        <v>1</v>
      </c>
      <c r="C84" s="100" t="s">
        <v>234</v>
      </c>
      <c r="D84" s="245">
        <f>D70/2</f>
        <v>2341.5</v>
      </c>
    </row>
    <row r="85" spans="1:4">
      <c r="B85" s="95"/>
      <c r="C85" s="99"/>
      <c r="D85" s="53"/>
    </row>
    <row r="86" spans="1:4" ht="25.5" hidden="1">
      <c r="A86">
        <v>0</v>
      </c>
      <c r="B86" s="95">
        <v>2</v>
      </c>
      <c r="C86" s="100" t="s">
        <v>152</v>
      </c>
      <c r="D86" s="79">
        <f>D72</f>
        <v>0</v>
      </c>
    </row>
    <row r="87" spans="1:4" hidden="1">
      <c r="B87" s="95"/>
      <c r="C87" s="99"/>
      <c r="D87" s="53"/>
    </row>
    <row r="88" spans="1:4" ht="17.649999999999999" customHeight="1">
      <c r="B88" s="95">
        <v>2</v>
      </c>
      <c r="C88" s="100" t="s">
        <v>223</v>
      </c>
      <c r="D88" s="245">
        <f>25*2080</f>
        <v>52000</v>
      </c>
    </row>
    <row r="89" spans="1:4">
      <c r="B89" s="95"/>
      <c r="C89" s="99"/>
      <c r="D89" s="53"/>
    </row>
    <row r="90" spans="1:4" ht="38.25" hidden="1">
      <c r="B90" s="95">
        <v>4</v>
      </c>
      <c r="C90" s="100" t="s">
        <v>125</v>
      </c>
      <c r="D90" s="79">
        <f>D76</f>
        <v>0</v>
      </c>
    </row>
    <row r="91" spans="1:4" hidden="1">
      <c r="B91" s="95"/>
      <c r="C91" s="99"/>
      <c r="D91" s="53"/>
    </row>
    <row r="92" spans="1:4" ht="29.25" customHeight="1">
      <c r="B92" s="95">
        <v>3</v>
      </c>
      <c r="C92" s="100" t="s">
        <v>246</v>
      </c>
      <c r="D92" s="186">
        <f>D78</f>
        <v>0.32</v>
      </c>
    </row>
    <row r="93" spans="1:4">
      <c r="B93" s="95"/>
      <c r="C93" s="99"/>
      <c r="D93" s="53"/>
    </row>
    <row r="94" spans="1:4" ht="38.25" hidden="1">
      <c r="A94">
        <v>0</v>
      </c>
      <c r="B94" s="95">
        <v>6</v>
      </c>
      <c r="C94" s="100" t="s">
        <v>126</v>
      </c>
      <c r="D94" s="79">
        <f>D80</f>
        <v>0</v>
      </c>
    </row>
    <row r="95" spans="1:4" hidden="1">
      <c r="B95" s="95"/>
      <c r="C95" s="99"/>
      <c r="D95" s="53"/>
    </row>
    <row r="96" spans="1:4" ht="28.5" customHeight="1">
      <c r="B96" s="95">
        <v>4</v>
      </c>
      <c r="C96" s="100" t="s">
        <v>224</v>
      </c>
      <c r="D96" s="245">
        <v>3750</v>
      </c>
    </row>
    <row r="97" spans="1:5">
      <c r="B97" s="95"/>
      <c r="C97" s="99"/>
      <c r="D97" s="53"/>
    </row>
    <row r="98" spans="1:5" ht="25.5" hidden="1">
      <c r="B98" s="95">
        <v>8</v>
      </c>
      <c r="C98" s="100" t="s">
        <v>81</v>
      </c>
      <c r="D98" s="196">
        <v>0</v>
      </c>
    </row>
    <row r="99" spans="1:5" hidden="1">
      <c r="B99" s="95"/>
      <c r="C99" s="99"/>
      <c r="D99" s="53"/>
    </row>
    <row r="100" spans="1:5" ht="38.25" hidden="1">
      <c r="B100" s="95">
        <v>9</v>
      </c>
      <c r="C100" s="100" t="s">
        <v>210</v>
      </c>
      <c r="D100" s="195">
        <v>0</v>
      </c>
    </row>
    <row r="101" spans="1:5" hidden="1">
      <c r="B101" s="95"/>
      <c r="C101" s="99"/>
      <c r="D101" s="53"/>
    </row>
    <row r="102" spans="1:5" ht="25.5" hidden="1">
      <c r="B102" s="95">
        <v>10</v>
      </c>
      <c r="C102" s="100" t="s">
        <v>82</v>
      </c>
      <c r="D102" s="196">
        <v>0</v>
      </c>
    </row>
    <row r="103" spans="1:5" hidden="1">
      <c r="B103" s="95"/>
      <c r="C103" s="99"/>
      <c r="D103" s="53"/>
    </row>
    <row r="104" spans="1:5" ht="17.25" customHeight="1">
      <c r="B104" s="95">
        <v>5</v>
      </c>
      <c r="C104" s="187" t="s">
        <v>235</v>
      </c>
      <c r="D104" s="53"/>
      <c r="E104" s="144"/>
    </row>
    <row r="105" spans="1:5">
      <c r="B105" s="53"/>
      <c r="C105" s="52" t="s">
        <v>21</v>
      </c>
      <c r="D105" s="246">
        <f>'Subsidy WS'!D65*-1</f>
        <v>-20000</v>
      </c>
    </row>
    <row r="106" spans="1:5">
      <c r="B106" s="53"/>
      <c r="C106" s="52" t="s">
        <v>22</v>
      </c>
      <c r="D106" s="246">
        <f>'Subsidy WS'!D66*-1</f>
        <v>-20000</v>
      </c>
    </row>
    <row r="107" spans="1:5">
      <c r="B107" s="53"/>
      <c r="C107" s="52" t="s">
        <v>23</v>
      </c>
      <c r="D107" s="246">
        <f>'Subsidy WS'!D67*-1</f>
        <v>-20000</v>
      </c>
    </row>
    <row r="108" spans="1:5">
      <c r="B108" s="53"/>
      <c r="C108" s="52" t="s">
        <v>24</v>
      </c>
      <c r="D108" s="246">
        <f>'Subsidy WS'!D68*-1</f>
        <v>-20000</v>
      </c>
    </row>
    <row r="109" spans="1:5">
      <c r="B109" s="53"/>
      <c r="C109" s="52" t="s">
        <v>30</v>
      </c>
      <c r="D109" s="246">
        <f>'Subsidy WS'!D69*-1</f>
        <v>-20000</v>
      </c>
    </row>
    <row r="110" spans="1:5">
      <c r="B110" s="53"/>
    </row>
    <row r="111" spans="1:5">
      <c r="A111" s="132" t="s">
        <v>206</v>
      </c>
      <c r="B111" s="131" t="s">
        <v>83</v>
      </c>
      <c r="C111" s="139"/>
      <c r="D111" s="135"/>
    </row>
    <row r="112" spans="1:5">
      <c r="B112" s="53"/>
    </row>
    <row r="113" spans="1:4" ht="40.5" customHeight="1">
      <c r="B113" s="95">
        <v>1</v>
      </c>
      <c r="C113" s="100" t="s">
        <v>225</v>
      </c>
      <c r="D113" s="245">
        <v>219000</v>
      </c>
    </row>
    <row r="114" spans="1:4">
      <c r="B114" s="95"/>
      <c r="C114" s="99"/>
      <c r="D114" s="53"/>
    </row>
    <row r="115" spans="1:4" ht="25.5" hidden="1">
      <c r="B115" s="95">
        <v>2</v>
      </c>
      <c r="C115" s="100" t="s">
        <v>86</v>
      </c>
      <c r="D115" s="196">
        <v>0</v>
      </c>
    </row>
    <row r="116" spans="1:4" hidden="1">
      <c r="B116" s="95"/>
      <c r="C116" s="99"/>
      <c r="D116" s="53"/>
    </row>
    <row r="117" spans="1:4">
      <c r="B117" s="95">
        <v>2</v>
      </c>
      <c r="C117" s="100" t="s">
        <v>130</v>
      </c>
      <c r="D117" s="53"/>
    </row>
    <row r="118" spans="1:4">
      <c r="B118" s="53"/>
      <c r="C118" s="52" t="s">
        <v>21</v>
      </c>
      <c r="D118" s="197">
        <v>0.9</v>
      </c>
    </row>
    <row r="119" spans="1:4">
      <c r="B119" s="53"/>
      <c r="C119" s="52" t="s">
        <v>22</v>
      </c>
      <c r="D119" s="197">
        <v>1</v>
      </c>
    </row>
    <row r="120" spans="1:4">
      <c r="C120" s="52" t="s">
        <v>23</v>
      </c>
      <c r="D120" s="197">
        <v>1</v>
      </c>
    </row>
    <row r="121" spans="1:4">
      <c r="C121" s="52" t="s">
        <v>24</v>
      </c>
      <c r="D121" s="197">
        <v>1</v>
      </c>
    </row>
    <row r="122" spans="1:4">
      <c r="C122" s="52" t="s">
        <v>30</v>
      </c>
      <c r="D122" s="197">
        <v>1</v>
      </c>
    </row>
    <row r="123" spans="1:4">
      <c r="D123" s="53"/>
    </row>
    <row r="124" spans="1:4">
      <c r="A124" s="132" t="s">
        <v>207</v>
      </c>
      <c r="B124" s="131" t="s">
        <v>32</v>
      </c>
      <c r="C124" s="139"/>
      <c r="D124" s="135"/>
    </row>
    <row r="125" spans="1:4">
      <c r="B125" s="53"/>
    </row>
    <row r="126" spans="1:4">
      <c r="B126" s="95">
        <v>1</v>
      </c>
      <c r="C126" s="99" t="s">
        <v>247</v>
      </c>
      <c r="D126" s="247">
        <f>D113</f>
        <v>219000</v>
      </c>
    </row>
    <row r="127" spans="1:4">
      <c r="B127" s="95"/>
      <c r="C127" s="99"/>
      <c r="D127" s="53"/>
    </row>
    <row r="128" spans="1:4" ht="25.5" hidden="1">
      <c r="B128" s="95">
        <v>2</v>
      </c>
      <c r="C128" s="100" t="s">
        <v>127</v>
      </c>
      <c r="D128" s="79">
        <f>D115</f>
        <v>0</v>
      </c>
    </row>
    <row r="129" spans="1:4" hidden="1">
      <c r="B129" s="95"/>
      <c r="C129" s="99"/>
      <c r="D129" s="53"/>
    </row>
    <row r="130" spans="1:4" ht="42.4" customHeight="1">
      <c r="B130" s="95">
        <v>2</v>
      </c>
      <c r="C130" s="100" t="s">
        <v>248</v>
      </c>
      <c r="D130" s="53"/>
    </row>
    <row r="131" spans="1:4">
      <c r="B131" s="53"/>
      <c r="C131" s="52" t="s">
        <v>21</v>
      </c>
      <c r="D131" s="186">
        <f>IFERROR('ROI Details'!C55,"")</f>
        <v>0.25</v>
      </c>
    </row>
    <row r="132" spans="1:4">
      <c r="B132" s="53"/>
      <c r="C132" s="52" t="s">
        <v>22</v>
      </c>
      <c r="D132" s="186">
        <f>IFERROR('ROI Details'!D55,"")</f>
        <v>0.375</v>
      </c>
    </row>
    <row r="133" spans="1:4">
      <c r="C133" s="52" t="s">
        <v>23</v>
      </c>
      <c r="D133" s="186">
        <f>IFERROR('ROI Details'!E55,"")</f>
        <v>0.5</v>
      </c>
    </row>
    <row r="134" spans="1:4">
      <c r="C134" s="52" t="s">
        <v>24</v>
      </c>
      <c r="D134" s="186">
        <f>IFERROR('ROI Details'!F55,"")</f>
        <v>0.625</v>
      </c>
    </row>
    <row r="135" spans="1:4">
      <c r="C135" s="52" t="s">
        <v>30</v>
      </c>
      <c r="D135" s="186">
        <f>IFERROR('ROI Details'!G55,"")</f>
        <v>0.7</v>
      </c>
    </row>
    <row r="136" spans="1:4">
      <c r="D136" s="53"/>
    </row>
    <row r="137" spans="1:4">
      <c r="A137" s="132" t="s">
        <v>208</v>
      </c>
      <c r="B137" s="131" t="s">
        <v>131</v>
      </c>
      <c r="C137" s="139"/>
      <c r="D137" s="135"/>
    </row>
    <row r="139" spans="1:4" ht="30" customHeight="1">
      <c r="C139" s="188" t="s">
        <v>243</v>
      </c>
    </row>
    <row r="141" spans="1:4">
      <c r="B141" s="95">
        <v>1</v>
      </c>
      <c r="C141" s="100" t="s">
        <v>239</v>
      </c>
      <c r="D141" s="248">
        <f>'Cost of Turnover WS'!D44</f>
        <v>26707.039961538467</v>
      </c>
    </row>
    <row r="142" spans="1:4">
      <c r="B142" s="95"/>
      <c r="C142" s="99"/>
      <c r="D142" s="53"/>
    </row>
    <row r="143" spans="1:4">
      <c r="B143" s="95">
        <v>2</v>
      </c>
      <c r="C143" s="99" t="s">
        <v>240</v>
      </c>
      <c r="D143" s="249">
        <f>'Cost of Turnover WS'!D47</f>
        <v>15132.786115384617</v>
      </c>
    </row>
    <row r="144" spans="1:4">
      <c r="B144" s="95"/>
      <c r="C144" s="99"/>
      <c r="D144" s="53"/>
    </row>
    <row r="145" spans="1:4" ht="29.25" customHeight="1">
      <c r="B145" s="95">
        <v>3</v>
      </c>
      <c r="C145" s="100" t="s">
        <v>226</v>
      </c>
      <c r="D145" s="196">
        <v>0.3</v>
      </c>
    </row>
    <row r="146" spans="1:4">
      <c r="B146" s="95"/>
      <c r="C146" s="99"/>
      <c r="D146" s="53"/>
    </row>
    <row r="147" spans="1:4" ht="29.25" customHeight="1">
      <c r="B147" s="95">
        <v>4</v>
      </c>
      <c r="C147" s="100" t="s">
        <v>217</v>
      </c>
      <c r="D147" s="196">
        <v>0.1</v>
      </c>
    </row>
    <row r="148" spans="1:4">
      <c r="D148" s="53"/>
    </row>
    <row r="149" spans="1:4" hidden="1">
      <c r="A149" s="35" t="s">
        <v>209</v>
      </c>
      <c r="B149" s="131" t="s">
        <v>149</v>
      </c>
      <c r="C149" s="139"/>
      <c r="D149" s="135"/>
    </row>
    <row r="150" spans="1:4" hidden="1"/>
    <row r="151" spans="1:4" ht="28.5" hidden="1" customHeight="1">
      <c r="B151" s="95">
        <v>1</v>
      </c>
      <c r="C151" s="100" t="s">
        <v>167</v>
      </c>
      <c r="D151" s="195">
        <v>0</v>
      </c>
    </row>
    <row r="152" spans="1:4" hidden="1">
      <c r="B152" s="95"/>
      <c r="C152" s="99"/>
      <c r="D152" s="53"/>
    </row>
    <row r="153" spans="1:4" hidden="1">
      <c r="B153" s="95">
        <v>2</v>
      </c>
      <c r="C153" t="s">
        <v>218</v>
      </c>
      <c r="D153" s="198">
        <v>0</v>
      </c>
    </row>
    <row r="154" spans="1:4" hidden="1">
      <c r="B154" s="95"/>
      <c r="C154" s="100"/>
      <c r="D154" s="179"/>
    </row>
    <row r="155" spans="1:4" hidden="1">
      <c r="B155" s="53">
        <v>3</v>
      </c>
      <c r="C155" t="s">
        <v>219</v>
      </c>
      <c r="D155" s="191">
        <v>0</v>
      </c>
    </row>
    <row r="156" spans="1:4" hidden="1">
      <c r="D156" s="53"/>
    </row>
    <row r="157" spans="1:4">
      <c r="D157" s="53"/>
    </row>
    <row r="158" spans="1:4">
      <c r="D158" s="53"/>
    </row>
    <row r="159" spans="1:4">
      <c r="D159" s="53"/>
    </row>
    <row r="160" spans="1:4">
      <c r="D160" s="53"/>
    </row>
    <row r="161" spans="4:4">
      <c r="D161" s="53"/>
    </row>
    <row r="162" spans="4:4">
      <c r="D162" s="53"/>
    </row>
    <row r="163" spans="4:4">
      <c r="D163" s="53"/>
    </row>
    <row r="164" spans="4:4">
      <c r="D164" s="53"/>
    </row>
    <row r="165" spans="4:4">
      <c r="D165" s="53"/>
    </row>
    <row r="166" spans="4:4">
      <c r="D166" s="53"/>
    </row>
    <row r="167" spans="4:4">
      <c r="D167" s="53"/>
    </row>
    <row r="168" spans="4:4">
      <c r="D168" s="53"/>
    </row>
    <row r="169" spans="4:4">
      <c r="D169" s="53"/>
    </row>
    <row r="170" spans="4:4">
      <c r="D170" s="53"/>
    </row>
    <row r="171" spans="4:4">
      <c r="D171" s="53"/>
    </row>
    <row r="172" spans="4:4">
      <c r="D172" s="53"/>
    </row>
    <row r="173" spans="4:4">
      <c r="D173" s="53"/>
    </row>
    <row r="174" spans="4:4">
      <c r="D174" s="53"/>
    </row>
    <row r="175" spans="4:4">
      <c r="D175" s="53"/>
    </row>
    <row r="176" spans="4:4">
      <c r="D176" s="53"/>
    </row>
    <row r="177" spans="4:4">
      <c r="D177" s="53"/>
    </row>
    <row r="178" spans="4:4">
      <c r="D178" s="53"/>
    </row>
    <row r="179" spans="4:4">
      <c r="D179" s="53"/>
    </row>
    <row r="180" spans="4:4">
      <c r="D180" s="53"/>
    </row>
    <row r="181" spans="4:4">
      <c r="D181" s="53"/>
    </row>
    <row r="182" spans="4:4">
      <c r="D182" s="53"/>
    </row>
    <row r="183" spans="4:4">
      <c r="D183" s="53"/>
    </row>
    <row r="184" spans="4:4">
      <c r="D184" s="53"/>
    </row>
    <row r="185" spans="4:4">
      <c r="D185" s="53"/>
    </row>
    <row r="186" spans="4:4">
      <c r="D186" s="53"/>
    </row>
    <row r="187" spans="4:4">
      <c r="D187" s="53"/>
    </row>
    <row r="188" spans="4:4">
      <c r="D188" s="53"/>
    </row>
    <row r="189" spans="4:4">
      <c r="D189" s="53"/>
    </row>
    <row r="190" spans="4:4">
      <c r="D190" s="53"/>
    </row>
    <row r="191" spans="4:4">
      <c r="D191" s="53"/>
    </row>
    <row r="192" spans="4:4">
      <c r="D192" s="53"/>
    </row>
    <row r="193" spans="4:4">
      <c r="D193" s="53"/>
    </row>
    <row r="194" spans="4:4">
      <c r="D194" s="53"/>
    </row>
    <row r="195" spans="4:4">
      <c r="D195" s="53"/>
    </row>
    <row r="196" spans="4:4">
      <c r="D196" s="53"/>
    </row>
    <row r="197" spans="4:4">
      <c r="D197" s="53"/>
    </row>
    <row r="198" spans="4:4">
      <c r="D198" s="53"/>
    </row>
    <row r="199" spans="4:4">
      <c r="D199" s="53"/>
    </row>
    <row r="200" spans="4:4">
      <c r="D200" s="53"/>
    </row>
    <row r="201" spans="4:4">
      <c r="D201" s="53"/>
    </row>
    <row r="202" spans="4:4">
      <c r="D202" s="53"/>
    </row>
    <row r="203" spans="4:4">
      <c r="D203" s="53"/>
    </row>
    <row r="204" spans="4:4">
      <c r="D204" s="53"/>
    </row>
    <row r="205" spans="4:4">
      <c r="D205" s="53"/>
    </row>
    <row r="206" spans="4:4">
      <c r="D206" s="53"/>
    </row>
    <row r="207" spans="4:4">
      <c r="D207" s="53"/>
    </row>
    <row r="208" spans="4:4">
      <c r="D208" s="53"/>
    </row>
    <row r="209" spans="4:4">
      <c r="D209" s="53"/>
    </row>
    <row r="210" spans="4:4">
      <c r="D210" s="53"/>
    </row>
    <row r="211" spans="4:4">
      <c r="D211" s="53"/>
    </row>
    <row r="212" spans="4:4">
      <c r="D212" s="53"/>
    </row>
    <row r="213" spans="4:4">
      <c r="D213" s="53"/>
    </row>
    <row r="214" spans="4:4">
      <c r="D214" s="53"/>
    </row>
    <row r="215" spans="4:4">
      <c r="D215" s="53"/>
    </row>
    <row r="216" spans="4:4">
      <c r="D216" s="53"/>
    </row>
    <row r="217" spans="4:4">
      <c r="D217" s="53"/>
    </row>
    <row r="218" spans="4:4">
      <c r="D218" s="53"/>
    </row>
    <row r="219" spans="4:4">
      <c r="D219" s="53"/>
    </row>
    <row r="220" spans="4:4">
      <c r="D220" s="53"/>
    </row>
    <row r="221" spans="4:4">
      <c r="D221" s="53"/>
    </row>
    <row r="222" spans="4:4">
      <c r="D222" s="53"/>
    </row>
    <row r="223" spans="4:4">
      <c r="D223" s="53"/>
    </row>
    <row r="224" spans="4:4">
      <c r="D224" s="53"/>
    </row>
    <row r="225" spans="4:4">
      <c r="D225" s="53"/>
    </row>
    <row r="226" spans="4:4">
      <c r="D226" s="53"/>
    </row>
    <row r="227" spans="4:4">
      <c r="D227" s="53"/>
    </row>
    <row r="228" spans="4:4">
      <c r="D228" s="53"/>
    </row>
    <row r="229" spans="4:4">
      <c r="D229" s="53"/>
    </row>
    <row r="230" spans="4:4">
      <c r="D230" s="53"/>
    </row>
    <row r="231" spans="4:4">
      <c r="D231" s="53"/>
    </row>
    <row r="232" spans="4:4">
      <c r="D232" s="53"/>
    </row>
    <row r="233" spans="4:4">
      <c r="D233" s="53"/>
    </row>
    <row r="234" spans="4:4">
      <c r="D234" s="53"/>
    </row>
    <row r="235" spans="4:4">
      <c r="D235" s="53"/>
    </row>
    <row r="236" spans="4:4">
      <c r="D236" s="53"/>
    </row>
    <row r="237" spans="4:4">
      <c r="D237" s="53"/>
    </row>
    <row r="238" spans="4:4">
      <c r="D238" s="53"/>
    </row>
    <row r="239" spans="4:4">
      <c r="D239" s="53"/>
    </row>
    <row r="240" spans="4:4">
      <c r="D240" s="53"/>
    </row>
    <row r="241" spans="4:4">
      <c r="D241" s="53"/>
    </row>
    <row r="242" spans="4:4">
      <c r="D242" s="53"/>
    </row>
    <row r="243" spans="4:4">
      <c r="D243" s="53"/>
    </row>
    <row r="244" spans="4:4">
      <c r="D244" s="53"/>
    </row>
    <row r="245" spans="4:4">
      <c r="D245" s="53"/>
    </row>
    <row r="246" spans="4:4">
      <c r="D246" s="53"/>
    </row>
    <row r="247" spans="4:4">
      <c r="D247" s="53"/>
    </row>
    <row r="248" spans="4:4">
      <c r="D248" s="53"/>
    </row>
    <row r="249" spans="4:4">
      <c r="D249" s="53"/>
    </row>
    <row r="250" spans="4:4">
      <c r="D250" s="53"/>
    </row>
    <row r="251" spans="4:4">
      <c r="D251" s="53"/>
    </row>
    <row r="252" spans="4:4">
      <c r="D252" s="53"/>
    </row>
    <row r="253" spans="4:4">
      <c r="D253" s="53"/>
    </row>
    <row r="254" spans="4:4">
      <c r="D254" s="53"/>
    </row>
    <row r="255" spans="4:4">
      <c r="D255" s="53"/>
    </row>
    <row r="256" spans="4:4">
      <c r="D256" s="53"/>
    </row>
    <row r="257" spans="4:4">
      <c r="D257" s="53"/>
    </row>
    <row r="258" spans="4:4">
      <c r="D258" s="53"/>
    </row>
    <row r="259" spans="4:4">
      <c r="D259" s="53"/>
    </row>
    <row r="260" spans="4:4">
      <c r="D260" s="53"/>
    </row>
    <row r="261" spans="4:4">
      <c r="D261" s="53"/>
    </row>
  </sheetData>
  <sheetProtection algorithmName="SHA-512" hashValue="gUnqbTzazra1sL3kYndcbFJh+2hR8nA5kBrTuj/2nM85vyDsW4jKLqM3HQbDkmVn+raKjgjFzScFyNfcmKCyIQ==" saltValue="+CDndcw+dMwvjL4r9fG3EQ==" spinCount="100000" sheet="1" scenarios="1"/>
  <conditionalFormatting sqref="E15">
    <cfRule type="expression" dxfId="7" priority="9">
      <formula>$D$12=1</formula>
    </cfRule>
  </conditionalFormatting>
  <conditionalFormatting sqref="E21">
    <cfRule type="expression" dxfId="6" priority="5">
      <formula>$D$12=1</formula>
    </cfRule>
  </conditionalFormatting>
  <conditionalFormatting sqref="E16:F16">
    <cfRule type="expression" dxfId="5" priority="8">
      <formula>$D$12=2</formula>
    </cfRule>
  </conditionalFormatting>
  <conditionalFormatting sqref="E22:F22">
    <cfRule type="expression" dxfId="4" priority="4">
      <formula>$D$12=2</formula>
    </cfRule>
  </conditionalFormatting>
  <conditionalFormatting sqref="E17:G17">
    <cfRule type="expression" dxfId="3" priority="7">
      <formula>$D$12=3</formula>
    </cfRule>
  </conditionalFormatting>
  <conditionalFormatting sqref="E23:G23">
    <cfRule type="expression" dxfId="2" priority="3">
      <formula>$D$12=3</formula>
    </cfRule>
  </conditionalFormatting>
  <conditionalFormatting sqref="E18:H18">
    <cfRule type="expression" dxfId="1" priority="6">
      <formula>$D$12=4</formula>
    </cfRule>
  </conditionalFormatting>
  <conditionalFormatting sqref="E24:H24">
    <cfRule type="expression" dxfId="0" priority="2">
      <formula>$D$12=4</formula>
    </cfRule>
  </conditionalFormatting>
  <dataValidations count="1">
    <dataValidation type="whole" allowBlank="1" showInputMessage="1" showErrorMessage="1" sqref="D12" xr:uid="{D3D1ACDE-FA79-430E-8ADF-3ECD878C177F}">
      <formula1>1</formula1>
      <formula2>4</formula2>
    </dataValidation>
  </dataValidations>
  <printOptions horizontalCentered="1"/>
  <pageMargins left="0.7" right="0.7" top="0.75" bottom="0.75" header="0.3" footer="0.3"/>
  <pageSetup scale="62" fitToHeight="4" orientation="portrait" r:id="rId1"/>
  <rowBreaks count="1" manualBreakCount="1">
    <brk id="123" min="1" max="8"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8F3BA-8ED8-4700-B5F7-3B64B0900B58}">
  <sheetPr>
    <pageSetUpPr fitToPage="1"/>
  </sheetPr>
  <dimension ref="B1:T31"/>
  <sheetViews>
    <sheetView showGridLines="0" showRowColHeaders="0" zoomScaleNormal="100" workbookViewId="0">
      <pane ySplit="3" topLeftCell="A4" activePane="bottomLeft" state="frozenSplit"/>
      <selection pane="bottomLeft" activeCell="A4" sqref="A4"/>
    </sheetView>
  </sheetViews>
  <sheetFormatPr defaultRowHeight="12.75"/>
  <cols>
    <col min="1" max="1" width="3" customWidth="1"/>
    <col min="2" max="2" width="37.625" customWidth="1"/>
    <col min="3" max="14" width="14" customWidth="1"/>
  </cols>
  <sheetData>
    <row r="1" spans="2:20" ht="24.4" customHeight="1"/>
    <row r="2" spans="2:20" ht="70.900000000000006" customHeight="1"/>
    <row r="3" spans="2:20" ht="13.15" customHeight="1"/>
    <row r="4" spans="2:20" ht="13.15" customHeight="1" thickBot="1"/>
    <row r="5" spans="2:20" s="145" customFormat="1" ht="13.5" thickTop="1">
      <c r="B5" s="158" t="s">
        <v>185</v>
      </c>
      <c r="C5" s="250" t="s">
        <v>21</v>
      </c>
      <c r="D5" s="251"/>
      <c r="E5" s="250" t="s">
        <v>22</v>
      </c>
      <c r="F5" s="251"/>
      <c r="G5" s="250" t="s">
        <v>23</v>
      </c>
      <c r="H5" s="251"/>
      <c r="I5" s="250" t="s">
        <v>24</v>
      </c>
      <c r="J5" s="251"/>
      <c r="K5" s="250" t="s">
        <v>30</v>
      </c>
      <c r="L5" s="252"/>
      <c r="M5" s="250" t="s">
        <v>0</v>
      </c>
      <c r="N5" s="251"/>
    </row>
    <row r="6" spans="2:20" s="145" customFormat="1">
      <c r="B6" s="155" t="s">
        <v>184</v>
      </c>
      <c r="C6" s="156" t="s">
        <v>182</v>
      </c>
      <c r="D6" s="157" t="s">
        <v>183</v>
      </c>
      <c r="E6" s="156" t="s">
        <v>182</v>
      </c>
      <c r="F6" s="157" t="s">
        <v>183</v>
      </c>
      <c r="G6" s="156" t="s">
        <v>182</v>
      </c>
      <c r="H6" s="157" t="s">
        <v>183</v>
      </c>
      <c r="I6" s="156" t="s">
        <v>182</v>
      </c>
      <c r="J6" s="157" t="s">
        <v>183</v>
      </c>
      <c r="K6" s="156" t="s">
        <v>182</v>
      </c>
      <c r="L6" s="210" t="s">
        <v>183</v>
      </c>
      <c r="M6" s="156" t="s">
        <v>182</v>
      </c>
      <c r="N6" s="157" t="s">
        <v>183</v>
      </c>
    </row>
    <row r="7" spans="2:20">
      <c r="B7" s="152" t="s">
        <v>261</v>
      </c>
      <c r="C7" s="146">
        <f>'ROI Details'!C60</f>
        <v>197100</v>
      </c>
      <c r="D7" s="147">
        <f>'ROI Details'!C67</f>
        <v>54750</v>
      </c>
      <c r="E7" s="146">
        <f>'ROI Details'!D60</f>
        <v>208050</v>
      </c>
      <c r="F7" s="147">
        <f>'ROI Details'!D67</f>
        <v>82125</v>
      </c>
      <c r="G7" s="146">
        <f>'ROI Details'!E60</f>
        <v>211700</v>
      </c>
      <c r="H7" s="147">
        <f>'ROI Details'!E67</f>
        <v>109500</v>
      </c>
      <c r="I7" s="146">
        <f>'ROI Details'!F60</f>
        <v>213525</v>
      </c>
      <c r="J7" s="147">
        <f>'ROI Details'!F67</f>
        <v>136875</v>
      </c>
      <c r="K7" s="146">
        <f>'ROI Details'!G60</f>
        <v>214620.00000000003</v>
      </c>
      <c r="L7" s="211">
        <f>'ROI Details'!G67</f>
        <v>153300</v>
      </c>
      <c r="M7" s="146">
        <f>'ROI Details'!H60</f>
        <v>1044995</v>
      </c>
      <c r="N7" s="147">
        <f>'ROI Details'!H67</f>
        <v>536550</v>
      </c>
      <c r="O7" s="20"/>
      <c r="P7" s="20"/>
      <c r="Q7" s="20"/>
      <c r="R7" s="20"/>
      <c r="S7" s="20"/>
      <c r="T7" s="20"/>
    </row>
    <row r="8" spans="2:20">
      <c r="B8" s="206" t="s">
        <v>264</v>
      </c>
      <c r="C8" s="207">
        <f>'ROI Details'!C49</f>
        <v>0.9</v>
      </c>
      <c r="D8" s="208">
        <f>'ROI Details'!C55</f>
        <v>0.25</v>
      </c>
      <c r="E8" s="207">
        <f>'ROI Details'!D49</f>
        <v>0.95</v>
      </c>
      <c r="F8" s="208">
        <f>'ROI Details'!D55</f>
        <v>0.375</v>
      </c>
      <c r="G8" s="207">
        <f>'ROI Details'!E49</f>
        <v>0.96666666666666667</v>
      </c>
      <c r="H8" s="208">
        <f>'ROI Details'!E55</f>
        <v>0.5</v>
      </c>
      <c r="I8" s="207">
        <f>'ROI Details'!F49</f>
        <v>0.97499999999999998</v>
      </c>
      <c r="J8" s="208">
        <f>'ROI Details'!F55</f>
        <v>0.625</v>
      </c>
      <c r="K8" s="207">
        <f>'ROI Details'!G49</f>
        <v>0.98000000000000009</v>
      </c>
      <c r="L8" s="212">
        <f>'ROI Details'!G55</f>
        <v>0.7</v>
      </c>
      <c r="M8" s="228" t="s">
        <v>265</v>
      </c>
      <c r="N8" s="227" t="s">
        <v>265</v>
      </c>
      <c r="O8" s="20"/>
      <c r="P8" s="20"/>
      <c r="Q8" s="20"/>
      <c r="R8" s="20"/>
      <c r="S8" s="20"/>
      <c r="T8" s="20"/>
    </row>
    <row r="9" spans="2:20" ht="13.5" thickBot="1">
      <c r="B9" s="153" t="s">
        <v>181</v>
      </c>
      <c r="C9" s="148">
        <f>'ROI Details'!C61</f>
        <v>95063.111988461547</v>
      </c>
      <c r="D9" s="149">
        <f>'ROI Details'!C68</f>
        <v>35722.82</v>
      </c>
      <c r="E9" s="148">
        <f>'ROI Details'!D61</f>
        <v>95063.111988461547</v>
      </c>
      <c r="F9" s="149">
        <f>'ROI Details'!D68</f>
        <v>45151.56</v>
      </c>
      <c r="G9" s="148">
        <f>'ROI Details'!E61</f>
        <v>95063.111988461547</v>
      </c>
      <c r="H9" s="149">
        <f>'ROI Details'!E68</f>
        <v>50455.273333333331</v>
      </c>
      <c r="I9" s="148">
        <f>'ROI Details'!F61</f>
        <v>95063.111988461547</v>
      </c>
      <c r="J9" s="149">
        <f>'ROI Details'!F68</f>
        <v>57688.55194487179</v>
      </c>
      <c r="K9" s="148">
        <f>'ROI Details'!G61</f>
        <v>95063.111988461547</v>
      </c>
      <c r="L9" s="213">
        <f>'ROI Details'!G68</f>
        <v>61120.55194487179</v>
      </c>
      <c r="M9" s="148">
        <f>'ROI Details'!H61</f>
        <v>475315.55994230777</v>
      </c>
      <c r="N9" s="149">
        <f>'ROI Details'!H68</f>
        <v>250138.75722307689</v>
      </c>
      <c r="O9" s="20"/>
      <c r="P9" s="20"/>
      <c r="Q9" s="20"/>
      <c r="R9" s="20"/>
      <c r="S9" s="20"/>
      <c r="T9" s="20"/>
    </row>
    <row r="10" spans="2:20" ht="13.5" thickTop="1">
      <c r="B10" s="154" t="s">
        <v>26</v>
      </c>
      <c r="C10" s="150">
        <f>'ROI Details'!C62</f>
        <v>102036.88801153845</v>
      </c>
      <c r="D10" s="151">
        <f>'ROI Details'!C69</f>
        <v>19027.18</v>
      </c>
      <c r="E10" s="150">
        <f>'ROI Details'!D62</f>
        <v>112986.88801153845</v>
      </c>
      <c r="F10" s="151">
        <f>'ROI Details'!D69</f>
        <v>36973.440000000002</v>
      </c>
      <c r="G10" s="150">
        <f>'ROI Details'!E62</f>
        <v>116636.88801153845</v>
      </c>
      <c r="H10" s="151">
        <f>'ROI Details'!E69</f>
        <v>59044.726666666669</v>
      </c>
      <c r="I10" s="150">
        <f>'ROI Details'!F62</f>
        <v>118461.88801153845</v>
      </c>
      <c r="J10" s="151">
        <f>'ROI Details'!F69</f>
        <v>79186.448055128218</v>
      </c>
      <c r="K10" s="150">
        <f>'ROI Details'!G62</f>
        <v>119556.88801153848</v>
      </c>
      <c r="L10" s="214">
        <f>'ROI Details'!G69</f>
        <v>92179.448055128218</v>
      </c>
      <c r="M10" s="150">
        <f>'ROI Details'!H62</f>
        <v>569679.44005769223</v>
      </c>
      <c r="N10" s="151">
        <f>'ROI Details'!H69</f>
        <v>286411.24277692311</v>
      </c>
      <c r="O10" s="20"/>
      <c r="P10" s="20"/>
      <c r="Q10" s="20"/>
      <c r="R10" s="20"/>
      <c r="S10" s="20"/>
      <c r="T10" s="20"/>
    </row>
    <row r="11" spans="2:20" s="1" customFormat="1">
      <c r="B11" s="231" t="s">
        <v>267</v>
      </c>
      <c r="C11" s="232">
        <f>'ROI Details'!C63</f>
        <v>1.0733594332986212</v>
      </c>
      <c r="D11" s="233">
        <f>'ROI Details'!C70</f>
        <v>0.53263376183627165</v>
      </c>
      <c r="E11" s="232">
        <f>'ROI Details'!D63</f>
        <v>1.188546068481878</v>
      </c>
      <c r="F11" s="233">
        <f>'ROI Details'!D70</f>
        <v>0.81887403225935063</v>
      </c>
      <c r="G11" s="232">
        <f>'ROI Details'!E63</f>
        <v>1.2269416135429636</v>
      </c>
      <c r="H11" s="233">
        <f>'ROI Details'!E70</f>
        <v>1.1702389614775648</v>
      </c>
      <c r="I11" s="232">
        <f>'ROI Details'!F63</f>
        <v>1.2461393860735064</v>
      </c>
      <c r="J11" s="233">
        <f>'ROI Details'!F70</f>
        <v>1.3726544589089391</v>
      </c>
      <c r="K11" s="232">
        <f>'ROI Details'!G63</f>
        <v>1.2576580495918324</v>
      </c>
      <c r="L11" s="234">
        <f>'ROI Details'!G70</f>
        <v>1.5081579783224188</v>
      </c>
      <c r="M11" s="232">
        <f>'ROI Details'!H63</f>
        <v>1.1985289101977601</v>
      </c>
      <c r="N11" s="233">
        <f>'ROI Details'!H70</f>
        <v>1.145009457776661</v>
      </c>
    </row>
    <row r="12" spans="2:20" ht="13.5" thickBot="1">
      <c r="B12" s="236" t="s">
        <v>274</v>
      </c>
      <c r="C12" s="235">
        <f>C11+1</f>
        <v>2.0733594332986209</v>
      </c>
      <c r="D12" s="230">
        <f t="shared" ref="D12:N12" si="0">D11+1</f>
        <v>1.5326337618362715</v>
      </c>
      <c r="E12" s="229">
        <f t="shared" si="0"/>
        <v>2.188546068481878</v>
      </c>
      <c r="F12" s="230">
        <f t="shared" si="0"/>
        <v>1.8188740322593506</v>
      </c>
      <c r="G12" s="229">
        <f t="shared" si="0"/>
        <v>2.2269416135429636</v>
      </c>
      <c r="H12" s="230">
        <f t="shared" si="0"/>
        <v>2.1702389614775646</v>
      </c>
      <c r="I12" s="229">
        <f t="shared" si="0"/>
        <v>2.2461393860735064</v>
      </c>
      <c r="J12" s="230">
        <f t="shared" si="0"/>
        <v>2.3726544589089391</v>
      </c>
      <c r="K12" s="229">
        <f t="shared" si="0"/>
        <v>2.2576580495918321</v>
      </c>
      <c r="L12" s="230">
        <f t="shared" si="0"/>
        <v>2.5081579783224188</v>
      </c>
      <c r="M12" s="229">
        <f t="shared" si="0"/>
        <v>2.1985289101977603</v>
      </c>
      <c r="N12" s="230">
        <f t="shared" si="0"/>
        <v>2.145009457776661</v>
      </c>
    </row>
    <row r="13" spans="2:20" ht="13.5" thickTop="1"/>
    <row r="14" spans="2:20" ht="13.5" thickBot="1"/>
    <row r="15" spans="2:20" ht="13.5" thickTop="1">
      <c r="B15" s="215" t="s">
        <v>258</v>
      </c>
      <c r="C15" s="203" t="s">
        <v>255</v>
      </c>
    </row>
    <row r="16" spans="2:20" ht="25.5">
      <c r="B16" s="217" t="s">
        <v>253</v>
      </c>
      <c r="C16" s="218">
        <f>'ROI Details'!C31*(1+'ROI Details'!C32)</f>
        <v>82368</v>
      </c>
      <c r="D16" s="17"/>
      <c r="E16" s="17"/>
      <c r="F16" s="17"/>
      <c r="G16" s="17"/>
      <c r="H16" s="17"/>
      <c r="I16" s="17"/>
      <c r="J16" s="17"/>
      <c r="K16" s="17"/>
      <c r="L16" s="17"/>
      <c r="M16" s="17"/>
      <c r="N16" s="17"/>
    </row>
    <row r="17" spans="2:14">
      <c r="B17" s="219" t="s">
        <v>244</v>
      </c>
      <c r="C17" s="218">
        <f>'ROI Details'!C30</f>
        <v>4683</v>
      </c>
      <c r="D17" s="17"/>
      <c r="E17" s="17"/>
      <c r="F17" s="17"/>
      <c r="G17" s="17"/>
      <c r="H17" s="17"/>
      <c r="I17" s="17"/>
      <c r="J17" s="17"/>
      <c r="K17" s="17"/>
      <c r="L17" s="17"/>
      <c r="M17" s="17"/>
      <c r="N17" s="17"/>
    </row>
    <row r="18" spans="2:14" ht="13.5" thickBot="1">
      <c r="B18" s="222" t="s">
        <v>254</v>
      </c>
      <c r="C18" s="223">
        <f>'ROI Details'!C13*'ROI Details'!C14</f>
        <v>8012.11198846154</v>
      </c>
      <c r="D18" s="17"/>
      <c r="E18" s="17"/>
      <c r="F18" s="17"/>
      <c r="G18" s="17"/>
      <c r="H18" s="17"/>
      <c r="I18" s="17"/>
      <c r="J18" s="17"/>
      <c r="K18" s="17"/>
      <c r="L18" s="17"/>
      <c r="M18" s="17"/>
      <c r="N18" s="17"/>
    </row>
    <row r="19" spans="2:14" ht="14.25" thickTop="1" thickBot="1">
      <c r="B19" s="224" t="s">
        <v>0</v>
      </c>
      <c r="C19" s="226">
        <f>SUM(C16:C18)</f>
        <v>95063.111988461547</v>
      </c>
      <c r="D19" s="17"/>
      <c r="E19" s="17"/>
      <c r="F19" s="17"/>
      <c r="G19" s="17"/>
      <c r="H19" s="17"/>
      <c r="I19" s="17"/>
      <c r="J19" s="17"/>
      <c r="K19" s="17"/>
      <c r="L19" s="17"/>
      <c r="M19" s="17"/>
      <c r="N19" s="17"/>
    </row>
    <row r="20" spans="2:14" ht="13.5" thickTop="1"/>
    <row r="21" spans="2:14" ht="13.5" thickBot="1"/>
    <row r="22" spans="2:14" ht="13.5" thickTop="1">
      <c r="B22" s="215" t="s">
        <v>257</v>
      </c>
      <c r="C22" s="216" t="s">
        <v>21</v>
      </c>
      <c r="D22" s="216" t="s">
        <v>22</v>
      </c>
      <c r="E22" s="216" t="s">
        <v>23</v>
      </c>
      <c r="F22" s="216" t="s">
        <v>24</v>
      </c>
      <c r="G22" s="203" t="s">
        <v>30</v>
      </c>
    </row>
    <row r="23" spans="2:14" ht="25.5">
      <c r="B23" s="217" t="s">
        <v>262</v>
      </c>
      <c r="C23" s="119">
        <f>('ROI Details'!C38*'ROI Details'!C39*(1+'ROI Details'!C40))</f>
        <v>34320</v>
      </c>
      <c r="D23" s="119">
        <f>'ROI Details'!D38*'ROI Details'!D39*(1+'ROI Details'!D40)</f>
        <v>40154.399999999994</v>
      </c>
      <c r="E23" s="119">
        <f>'ROI Details'!E38*'ROI Details'!E39*(1+'ROI Details'!E40)</f>
        <v>45760</v>
      </c>
      <c r="F23" s="119">
        <f>'ROI Details'!F38*'ROI Details'!F39*(1+'ROI Details'!F40)</f>
        <v>51480</v>
      </c>
      <c r="G23" s="218">
        <f>'ROI Details'!G38*'ROI Details'!G39*(1+'ROI Details'!G40)</f>
        <v>54912</v>
      </c>
    </row>
    <row r="24" spans="2:14">
      <c r="B24" s="219" t="s">
        <v>244</v>
      </c>
      <c r="C24" s="119">
        <f>'ROI Details'!C37</f>
        <v>2341.5</v>
      </c>
      <c r="D24" s="119">
        <f>'ROI Details'!D37</f>
        <v>2341.5</v>
      </c>
      <c r="E24" s="119">
        <f>'ROI Details'!E37</f>
        <v>2341.5</v>
      </c>
      <c r="F24" s="119">
        <f>'ROI Details'!F37</f>
        <v>2341.5</v>
      </c>
      <c r="G24" s="218">
        <f>'ROI Details'!G37</f>
        <v>2341.5</v>
      </c>
    </row>
    <row r="25" spans="2:14">
      <c r="B25" s="220" t="s">
        <v>259</v>
      </c>
      <c r="C25" s="204">
        <f>'ROI Details'!C26/VLOOKUP('ROI Details'!C5,'ROI Details'!J70:O74,2)</f>
        <v>-2688.6800000000003</v>
      </c>
      <c r="D25" s="204">
        <f>'ROI Details'!D26/VLOOKUP('ROI Details'!C5,'ROI Details'!J70:O74,3)</f>
        <v>905.66000000000008</v>
      </c>
      <c r="E25" s="204">
        <f>'ROI Details'!E26/VLOOKUP('ROI Details'!C5,'ROI Details'!J70:O74,4)</f>
        <v>603.77333333333331</v>
      </c>
      <c r="F25" s="204">
        <f>'ROI Details'!F26/VLOOKUP('ROI Details'!C5,'ROI Details'!J70:O74,5)</f>
        <v>603.77333333333331</v>
      </c>
      <c r="G25" s="221">
        <f>'ROI Details'!G26/VLOOKUP('ROI Details'!C5,'ROI Details'!J70:O74,6)</f>
        <v>603.77333333333331</v>
      </c>
    </row>
    <row r="26" spans="2:14">
      <c r="B26" s="220" t="s">
        <v>256</v>
      </c>
      <c r="C26" s="204">
        <f>'ROI Details'!C41</f>
        <v>3750</v>
      </c>
      <c r="D26" s="204">
        <f>'ROI Details'!D41</f>
        <v>3750</v>
      </c>
      <c r="E26" s="204">
        <f>'ROI Details'!E41</f>
        <v>3750</v>
      </c>
      <c r="F26" s="204">
        <f>'ROI Details'!F41</f>
        <v>3750</v>
      </c>
      <c r="G26" s="221">
        <f>'ROI Details'!G41</f>
        <v>3750</v>
      </c>
    </row>
    <row r="27" spans="2:14">
      <c r="B27" s="220" t="s">
        <v>263</v>
      </c>
      <c r="C27" s="204">
        <f>'ROI Details'!C43</f>
        <v>-2000</v>
      </c>
      <c r="D27" s="204">
        <f>'ROI Details'!D43</f>
        <v>-2000</v>
      </c>
      <c r="E27" s="204">
        <f>'ROI Details'!E43</f>
        <v>-2000</v>
      </c>
      <c r="F27" s="204">
        <f>'ROI Details'!F43</f>
        <v>-2000</v>
      </c>
      <c r="G27" s="221">
        <f>'ROI Details'!G43</f>
        <v>-2000</v>
      </c>
    </row>
    <row r="28" spans="2:14" ht="13.5" thickBot="1">
      <c r="B28" s="222" t="s">
        <v>254</v>
      </c>
      <c r="C28" s="120">
        <f>VLOOKUP('ROI Details'!C5,'ROI Details'!J77:O81,2)</f>
        <v>0</v>
      </c>
      <c r="D28" s="120">
        <f>VLOOKUP('ROI Details'!C5,'ROI Details'!J77:O81,3)</f>
        <v>0</v>
      </c>
      <c r="E28" s="120">
        <f>VLOOKUP('ROI Details'!C5,'ROI Details'!J77:O81,4)</f>
        <v>0</v>
      </c>
      <c r="F28" s="120">
        <f>VLOOKUP('ROI Details'!C5,'ROI Details'!J77:O81,5)</f>
        <v>1513.2786115384617</v>
      </c>
      <c r="G28" s="223">
        <f>VLOOKUP('ROI Details'!C5,'ROI Details'!J77:O81,6)</f>
        <v>1513.2786115384617</v>
      </c>
    </row>
    <row r="29" spans="2:14" ht="14.25" thickTop="1" thickBot="1">
      <c r="B29" s="224" t="s">
        <v>0</v>
      </c>
      <c r="C29" s="225">
        <f>SUM(C23:C28)</f>
        <v>35722.82</v>
      </c>
      <c r="D29" s="225">
        <f t="shared" ref="D29:G29" si="1">SUM(D23:D28)</f>
        <v>45151.56</v>
      </c>
      <c r="E29" s="225">
        <f t="shared" si="1"/>
        <v>50455.273333333331</v>
      </c>
      <c r="F29" s="225">
        <f t="shared" si="1"/>
        <v>57688.55194487179</v>
      </c>
      <c r="G29" s="226">
        <f t="shared" si="1"/>
        <v>61120.55194487179</v>
      </c>
    </row>
    <row r="30" spans="2:14" ht="13.5" thickTop="1">
      <c r="B30" s="65" t="s">
        <v>260</v>
      </c>
    </row>
    <row r="31" spans="2:14">
      <c r="D31" s="17"/>
    </row>
  </sheetData>
  <sheetProtection algorithmName="SHA-512" hashValue="da2xKshh6clpceT1nVS6bgvbt0qovueY8d1rTjIxAxeRIbeVH6AzUOS0cq+AIeda33XX2yHp0OdCO74fwP/jKw==" saltValue="759rA6YqUFlErFzTIEIfow==" spinCount="100000" sheet="1" scenarios="1"/>
  <mergeCells count="6">
    <mergeCell ref="M5:N5"/>
    <mergeCell ref="C5:D5"/>
    <mergeCell ref="E5:F5"/>
    <mergeCell ref="G5:H5"/>
    <mergeCell ref="I5:J5"/>
    <mergeCell ref="K5:L5"/>
  </mergeCells>
  <pageMargins left="0.25" right="0.25" top="0.75" bottom="0.75" header="0.3" footer="0.3"/>
  <pageSetup scale="56"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350D1-F971-4B10-88CC-D9E4E02FA84A}">
  <sheetPr codeName="Sheet2">
    <pageSetUpPr autoPageBreaks="0" fitToPage="1"/>
  </sheetPr>
  <dimension ref="B1:V153"/>
  <sheetViews>
    <sheetView zoomScaleNormal="100" workbookViewId="0">
      <pane ySplit="3" topLeftCell="A4" activePane="bottomLeft" state="frozen"/>
      <selection pane="bottomLeft" activeCell="F7" sqref="F7"/>
    </sheetView>
  </sheetViews>
  <sheetFormatPr defaultRowHeight="12.75"/>
  <cols>
    <col min="1" max="1" width="3" customWidth="1"/>
    <col min="2" max="2" width="52.5" customWidth="1"/>
    <col min="3" max="3" width="13.875" bestFit="1" customWidth="1"/>
    <col min="4" max="4" width="13.25" customWidth="1"/>
    <col min="5" max="5" width="13.625" bestFit="1" customWidth="1"/>
    <col min="6" max="6" width="13.25" bestFit="1" customWidth="1"/>
    <col min="7" max="7" width="12.75" bestFit="1" customWidth="1"/>
    <col min="8" max="8" width="15.375" customWidth="1"/>
    <col min="9" max="9" width="1.75" customWidth="1"/>
    <col min="10" max="10" width="15.75" customWidth="1"/>
    <col min="11" max="11" width="12.375" customWidth="1"/>
    <col min="12" max="12" width="13.125" customWidth="1"/>
    <col min="13" max="14" width="11.375" customWidth="1"/>
    <col min="15" max="15" width="12.375" customWidth="1"/>
    <col min="16" max="16" width="9" customWidth="1"/>
    <col min="17" max="22" width="12.25" customWidth="1"/>
    <col min="23" max="23" width="9" customWidth="1"/>
  </cols>
  <sheetData>
    <row r="1" spans="2:22" ht="24.75" customHeight="1">
      <c r="B1" s="62"/>
    </row>
    <row r="2" spans="2:22" ht="71.25" customHeight="1">
      <c r="B2" s="62"/>
    </row>
    <row r="4" spans="2:22">
      <c r="B4" s="22" t="s">
        <v>76</v>
      </c>
      <c r="C4" s="23" t="s">
        <v>27</v>
      </c>
      <c r="D4" s="72"/>
      <c r="J4" s="75" t="s">
        <v>114</v>
      </c>
      <c r="Q4" s="75" t="s">
        <v>89</v>
      </c>
    </row>
    <row r="5" spans="2:22">
      <c r="B5" s="2" t="s">
        <v>41</v>
      </c>
      <c r="C5" s="83">
        <f>'ROI Questionnaire'!D12</f>
        <v>3</v>
      </c>
      <c r="D5" s="67"/>
      <c r="J5" s="5" t="s">
        <v>116</v>
      </c>
      <c r="K5" s="5" t="s">
        <v>21</v>
      </c>
      <c r="L5" s="5" t="s">
        <v>22</v>
      </c>
      <c r="M5" s="5" t="s">
        <v>23</v>
      </c>
      <c r="N5" s="5" t="s">
        <v>24</v>
      </c>
      <c r="O5" s="5" t="s">
        <v>30</v>
      </c>
      <c r="Q5" s="5" t="s">
        <v>88</v>
      </c>
      <c r="R5" s="5" t="s">
        <v>21</v>
      </c>
      <c r="S5" s="5" t="s">
        <v>22</v>
      </c>
      <c r="T5" s="5" t="s">
        <v>23</v>
      </c>
      <c r="U5" s="5" t="s">
        <v>24</v>
      </c>
      <c r="V5" s="5" t="s">
        <v>30</v>
      </c>
    </row>
    <row r="6" spans="2:22">
      <c r="B6" s="2" t="s">
        <v>46</v>
      </c>
      <c r="C6" s="83">
        <f>'ROI Questionnaire'!D26</f>
        <v>10</v>
      </c>
      <c r="D6" s="67"/>
      <c r="J6" s="55">
        <v>1</v>
      </c>
      <c r="K6" s="58">
        <f>'ROI Questionnaire'!E15</f>
        <v>0.5</v>
      </c>
      <c r="L6" s="58">
        <f>'ROI Questionnaire'!F15</f>
        <v>1</v>
      </c>
      <c r="M6" s="58">
        <f>'ROI Questionnaire'!G15</f>
        <v>1</v>
      </c>
      <c r="N6" s="58">
        <f>'ROI Questionnaire'!H15</f>
        <v>1</v>
      </c>
      <c r="O6" s="58">
        <f>'ROI Questionnaire'!I15</f>
        <v>1</v>
      </c>
      <c r="Q6" s="2">
        <v>1</v>
      </c>
      <c r="R6" s="24">
        <f>K6</f>
        <v>0.5</v>
      </c>
      <c r="S6" s="24">
        <f>L6</f>
        <v>1</v>
      </c>
      <c r="T6" s="24">
        <f>M6</f>
        <v>1</v>
      </c>
      <c r="U6" s="36">
        <f>N6</f>
        <v>1</v>
      </c>
      <c r="V6" s="36">
        <f>O6</f>
        <v>1</v>
      </c>
    </row>
    <row r="7" spans="2:22">
      <c r="B7" s="78" t="s">
        <v>123</v>
      </c>
      <c r="C7" s="84">
        <f>'ROI Questionnaire'!D72</f>
        <v>0</v>
      </c>
      <c r="D7" s="69"/>
      <c r="J7" s="55">
        <v>2</v>
      </c>
      <c r="K7" s="58">
        <f>'ROI Questionnaire'!E16</f>
        <v>0.5</v>
      </c>
      <c r="L7" s="58">
        <f>'ROI Questionnaire'!F16</f>
        <v>0.75</v>
      </c>
      <c r="M7" s="58">
        <f>'ROI Questionnaire'!G16</f>
        <v>1</v>
      </c>
      <c r="N7" s="58">
        <f>'ROI Questionnaire'!H16</f>
        <v>1</v>
      </c>
      <c r="O7" s="58">
        <f>'ROI Questionnaire'!I16</f>
        <v>1</v>
      </c>
      <c r="Q7" s="2">
        <v>2</v>
      </c>
      <c r="R7" s="24"/>
      <c r="S7" s="24">
        <f>R6</f>
        <v>0.5</v>
      </c>
      <c r="T7" s="24">
        <f>S6</f>
        <v>1</v>
      </c>
      <c r="U7" s="24">
        <f>T6</f>
        <v>1</v>
      </c>
      <c r="V7" s="24">
        <f>U6</f>
        <v>1</v>
      </c>
    </row>
    <row r="8" spans="2:22">
      <c r="B8" s="78" t="s">
        <v>124</v>
      </c>
      <c r="C8" s="84">
        <f>'ROI Questionnaire'!D76</f>
        <v>0</v>
      </c>
      <c r="D8" s="69"/>
      <c r="J8" s="55">
        <v>3</v>
      </c>
      <c r="K8" s="58">
        <f>'ROI Questionnaire'!E17</f>
        <v>0.5</v>
      </c>
      <c r="L8" s="58">
        <f>'ROI Questionnaire'!F17</f>
        <v>0.67</v>
      </c>
      <c r="M8" s="58">
        <f>'ROI Questionnaire'!G17</f>
        <v>0.83</v>
      </c>
      <c r="N8" s="58">
        <f>'ROI Questionnaire'!H17</f>
        <v>1</v>
      </c>
      <c r="O8" s="58">
        <f>'ROI Questionnaire'!I17</f>
        <v>1</v>
      </c>
      <c r="Q8" s="2">
        <v>3</v>
      </c>
      <c r="R8" s="24"/>
      <c r="S8" s="24"/>
      <c r="T8" s="24">
        <f>S7</f>
        <v>0.5</v>
      </c>
      <c r="U8" s="24">
        <f>T7</f>
        <v>1</v>
      </c>
      <c r="V8" s="24">
        <f>U7</f>
        <v>1</v>
      </c>
    </row>
    <row r="9" spans="2:22">
      <c r="B9" s="2" t="s">
        <v>47</v>
      </c>
      <c r="C9" s="84">
        <f>'ROI Questionnaire'!D80</f>
        <v>0</v>
      </c>
      <c r="D9" s="69"/>
      <c r="F9" s="17"/>
      <c r="J9" s="55">
        <v>4</v>
      </c>
      <c r="K9" s="58">
        <f>'ROI Questionnaire'!E18</f>
        <v>0.5</v>
      </c>
      <c r="L9" s="58">
        <f>'ROI Questionnaire'!F18</f>
        <v>0.63</v>
      </c>
      <c r="M9" s="58">
        <f>'ROI Questionnaire'!G18</f>
        <v>0.75</v>
      </c>
      <c r="N9" s="58">
        <f>'ROI Questionnaire'!H18</f>
        <v>0.88</v>
      </c>
      <c r="O9" s="58">
        <f>'ROI Questionnaire'!I18</f>
        <v>1</v>
      </c>
      <c r="Q9" s="2">
        <v>4</v>
      </c>
      <c r="R9" s="24"/>
      <c r="S9" s="24"/>
      <c r="T9" s="24"/>
      <c r="U9" s="24">
        <f>T8</f>
        <v>0.5</v>
      </c>
      <c r="V9" s="24">
        <f>U8</f>
        <v>1</v>
      </c>
    </row>
    <row r="10" spans="2:22">
      <c r="B10" s="2" t="s">
        <v>48</v>
      </c>
      <c r="C10" s="84">
        <f>'ROI Questionnaire'!D98</f>
        <v>0</v>
      </c>
      <c r="D10" s="69"/>
      <c r="K10" s="80"/>
      <c r="L10" s="77"/>
      <c r="M10" s="80"/>
      <c r="N10" s="77"/>
      <c r="O10" s="80"/>
      <c r="Q10" s="2">
        <v>5</v>
      </c>
      <c r="R10" s="24"/>
      <c r="S10" s="24"/>
      <c r="T10" s="24"/>
      <c r="U10" s="24"/>
      <c r="V10" s="24">
        <f>U9</f>
        <v>0.5</v>
      </c>
    </row>
    <row r="11" spans="2:22">
      <c r="B11" s="2" t="s">
        <v>50</v>
      </c>
      <c r="C11" s="84">
        <f>'ROI Questionnaire'!D102</f>
        <v>0</v>
      </c>
      <c r="D11" s="69"/>
      <c r="J11" s="75" t="s">
        <v>115</v>
      </c>
      <c r="Q11" s="2" t="s">
        <v>90</v>
      </c>
      <c r="R11" s="54">
        <f>AVERAGE(R6)</f>
        <v>0.5</v>
      </c>
      <c r="S11" s="24">
        <f>AVERAGE(S6:S7)</f>
        <v>0.75</v>
      </c>
      <c r="T11" s="24">
        <f>AVERAGE(T6:T8)</f>
        <v>0.83333333333333337</v>
      </c>
      <c r="U11" s="24">
        <f>AVERAGE(U6:U9)</f>
        <v>0.875</v>
      </c>
      <c r="V11" s="24">
        <f>AVERAGE(V6:V10)</f>
        <v>0.9</v>
      </c>
    </row>
    <row r="12" spans="2:22">
      <c r="B12" s="40" t="s">
        <v>85</v>
      </c>
      <c r="C12" s="84">
        <f>'ROI Questionnaire'!D115</f>
        <v>0</v>
      </c>
      <c r="D12" s="69"/>
      <c r="J12" s="5" t="s">
        <v>116</v>
      </c>
      <c r="K12" s="5" t="s">
        <v>21</v>
      </c>
      <c r="L12" s="5" t="s">
        <v>22</v>
      </c>
      <c r="M12" s="5" t="s">
        <v>23</v>
      </c>
      <c r="N12" s="5" t="s">
        <v>24</v>
      </c>
      <c r="O12" s="5" t="s">
        <v>30</v>
      </c>
    </row>
    <row r="13" spans="2:22">
      <c r="B13" s="2" t="s">
        <v>132</v>
      </c>
      <c r="C13" s="86">
        <f>'ROI Questionnaire'!D141</f>
        <v>26707.039961538467</v>
      </c>
      <c r="D13" s="190">
        <f>'ROI Questionnaire'!D143</f>
        <v>15132.786115384617</v>
      </c>
      <c r="E13" t="s">
        <v>232</v>
      </c>
      <c r="J13" s="55">
        <v>1</v>
      </c>
      <c r="K13" s="58">
        <f>'ROI Questionnaire'!E21</f>
        <v>0.5</v>
      </c>
      <c r="L13" s="58">
        <f>'ROI Questionnaire'!F21</f>
        <v>1</v>
      </c>
      <c r="M13" s="58">
        <f>'ROI Questionnaire'!G21</f>
        <v>1</v>
      </c>
      <c r="N13" s="58">
        <f>'ROI Questionnaire'!H21</f>
        <v>1</v>
      </c>
      <c r="O13" s="58">
        <f>'ROI Questionnaire'!I21</f>
        <v>1</v>
      </c>
      <c r="Q13" s="75" t="s">
        <v>91</v>
      </c>
    </row>
    <row r="14" spans="2:22">
      <c r="B14" s="2" t="s">
        <v>53</v>
      </c>
      <c r="C14" s="87">
        <f>'ROI Questionnaire'!D145</f>
        <v>0.3</v>
      </c>
      <c r="D14" s="68"/>
      <c r="J14" s="55">
        <v>2</v>
      </c>
      <c r="K14" s="58">
        <f>'ROI Questionnaire'!E22</f>
        <v>0.33</v>
      </c>
      <c r="L14" s="58">
        <f>'ROI Questionnaire'!F22</f>
        <v>0.66</v>
      </c>
      <c r="M14" s="58">
        <f>'ROI Questionnaire'!G22</f>
        <v>1</v>
      </c>
      <c r="N14" s="58">
        <f>'ROI Questionnaire'!H22</f>
        <v>1</v>
      </c>
      <c r="O14" s="58">
        <f>'ROI Questionnaire'!I22</f>
        <v>1</v>
      </c>
      <c r="Q14" s="5" t="s">
        <v>88</v>
      </c>
      <c r="R14" s="5" t="s">
        <v>21</v>
      </c>
      <c r="S14" s="5" t="s">
        <v>22</v>
      </c>
      <c r="T14" s="5" t="s">
        <v>23</v>
      </c>
      <c r="U14" s="5" t="s">
        <v>24</v>
      </c>
      <c r="V14" s="5" t="s">
        <v>30</v>
      </c>
    </row>
    <row r="15" spans="2:22">
      <c r="B15" s="2" t="s">
        <v>133</v>
      </c>
      <c r="C15" s="87">
        <f>'ROI Questionnaire'!D147</f>
        <v>0.1</v>
      </c>
      <c r="D15" s="68"/>
      <c r="J15" s="55">
        <v>3</v>
      </c>
      <c r="K15" s="58">
        <f>'ROI Questionnaire'!E23</f>
        <v>0.25</v>
      </c>
      <c r="L15" s="58">
        <f>'ROI Questionnaire'!F23</f>
        <v>0.5</v>
      </c>
      <c r="M15" s="58">
        <f>'ROI Questionnaire'!G23</f>
        <v>0.75</v>
      </c>
      <c r="N15" s="58">
        <f>'ROI Questionnaire'!H23</f>
        <v>1</v>
      </c>
      <c r="O15" s="58">
        <f>'ROI Questionnaire'!I23</f>
        <v>1</v>
      </c>
      <c r="Q15" s="2">
        <v>1</v>
      </c>
      <c r="R15" s="24">
        <f>K7</f>
        <v>0.5</v>
      </c>
      <c r="S15" s="24">
        <f>L7</f>
        <v>0.75</v>
      </c>
      <c r="T15" s="24">
        <f>M7</f>
        <v>1</v>
      </c>
      <c r="U15" s="36">
        <f>N7</f>
        <v>1</v>
      </c>
      <c r="V15" s="36">
        <f>O6</f>
        <v>1</v>
      </c>
    </row>
    <row r="16" spans="2:22">
      <c r="B16" s="2" t="s">
        <v>134</v>
      </c>
      <c r="C16" s="86">
        <f>'ROI Questionnaire'!D151</f>
        <v>0</v>
      </c>
      <c r="D16" s="70"/>
      <c r="J16" s="55">
        <v>4</v>
      </c>
      <c r="K16" s="58">
        <f>'ROI Questionnaire'!E24</f>
        <v>0.2</v>
      </c>
      <c r="L16" s="58">
        <f>'ROI Questionnaire'!F24</f>
        <v>0.4</v>
      </c>
      <c r="M16" s="58">
        <f>'ROI Questionnaire'!G24</f>
        <v>0.6</v>
      </c>
      <c r="N16" s="58">
        <f>'ROI Questionnaire'!H24</f>
        <v>0.8</v>
      </c>
      <c r="O16" s="58">
        <f>'ROI Questionnaire'!I24</f>
        <v>1</v>
      </c>
      <c r="Q16" s="2">
        <v>2</v>
      </c>
      <c r="R16" s="24"/>
      <c r="S16" s="24">
        <f>R15</f>
        <v>0.5</v>
      </c>
      <c r="T16" s="24">
        <f>S15</f>
        <v>0.75</v>
      </c>
      <c r="U16" s="24">
        <f>T15</f>
        <v>1</v>
      </c>
      <c r="V16" s="36">
        <f>U15</f>
        <v>1</v>
      </c>
    </row>
    <row r="17" spans="2:22" ht="25.5">
      <c r="B17" s="78" t="s">
        <v>220</v>
      </c>
      <c r="C17" s="88">
        <f>'ROI Questionnaire'!D153-'ROI Questionnaire'!D155</f>
        <v>0</v>
      </c>
      <c r="D17" s="71"/>
      <c r="Q17" s="2">
        <v>3</v>
      </c>
      <c r="R17" s="24"/>
      <c r="S17" s="24"/>
      <c r="T17" s="24">
        <f>S16</f>
        <v>0.5</v>
      </c>
      <c r="U17" s="24">
        <f>T16</f>
        <v>0.75</v>
      </c>
      <c r="V17" s="24">
        <f>U16</f>
        <v>1</v>
      </c>
    </row>
    <row r="18" spans="2:22">
      <c r="C18" s="81"/>
      <c r="D18" s="71"/>
      <c r="J18" s="75"/>
      <c r="Q18" s="2">
        <v>4</v>
      </c>
      <c r="R18" s="24"/>
      <c r="S18" s="24"/>
      <c r="T18" s="24"/>
      <c r="U18" s="24">
        <f>T17</f>
        <v>0.5</v>
      </c>
      <c r="V18" s="24">
        <f>U17</f>
        <v>0.75</v>
      </c>
    </row>
    <row r="19" spans="2:22">
      <c r="C19" s="41"/>
      <c r="D19" s="37"/>
      <c r="J19" s="66"/>
      <c r="K19" s="66"/>
      <c r="L19" s="66"/>
      <c r="M19" s="66"/>
      <c r="N19" s="66"/>
      <c r="O19" s="66"/>
      <c r="Q19" s="2">
        <v>5</v>
      </c>
      <c r="R19" s="24"/>
      <c r="S19" s="24"/>
      <c r="T19" s="24"/>
      <c r="U19" s="24"/>
      <c r="V19" s="24">
        <f>U18</f>
        <v>0.5</v>
      </c>
    </row>
    <row r="20" spans="2:22">
      <c r="B20" s="7" t="s">
        <v>29</v>
      </c>
      <c r="C20" s="5" t="s">
        <v>21</v>
      </c>
      <c r="D20" s="5" t="s">
        <v>22</v>
      </c>
      <c r="E20" s="5" t="s">
        <v>23</v>
      </c>
      <c r="F20" s="5" t="s">
        <v>24</v>
      </c>
      <c r="G20" s="5" t="s">
        <v>30</v>
      </c>
      <c r="H20" s="9" t="s">
        <v>28</v>
      </c>
      <c r="K20" s="80"/>
      <c r="L20" s="80"/>
      <c r="M20" s="80"/>
      <c r="N20" s="80"/>
      <c r="O20" s="80"/>
      <c r="Q20" s="2" t="s">
        <v>90</v>
      </c>
      <c r="R20" s="54">
        <f>AVERAGE(R15)</f>
        <v>0.5</v>
      </c>
      <c r="S20" s="24">
        <f>AVERAGE(S15:S16)</f>
        <v>0.625</v>
      </c>
      <c r="T20" s="24">
        <f>AVERAGE(T15:T17)</f>
        <v>0.75</v>
      </c>
      <c r="U20" s="24">
        <f>AVERAGE(U15:U18)</f>
        <v>0.8125</v>
      </c>
      <c r="V20" s="24">
        <f>AVERAGE(V15:V19)</f>
        <v>0.85</v>
      </c>
    </row>
    <row r="21" spans="2:22">
      <c r="B21" s="4" t="s">
        <v>64</v>
      </c>
      <c r="C21" s="29">
        <f>'ROI Questionnaire'!D32</f>
        <v>13113.2</v>
      </c>
      <c r="D21" s="29">
        <f>'ROI Questionnaire'!D33</f>
        <v>13113.2</v>
      </c>
      <c r="E21" s="29">
        <f>'ROI Questionnaire'!D34</f>
        <v>13113.2</v>
      </c>
      <c r="F21" s="29">
        <f>'ROI Questionnaire'!D35</f>
        <v>13113.2</v>
      </c>
      <c r="G21" s="29">
        <f>'ROI Questionnaire'!D36</f>
        <v>13113.2</v>
      </c>
      <c r="H21" s="14">
        <f>SUM(C21:G21)</f>
        <v>65566</v>
      </c>
      <c r="K21" s="80"/>
      <c r="L21" s="80"/>
      <c r="M21" s="80"/>
      <c r="N21" s="80"/>
      <c r="O21" s="80"/>
    </row>
    <row r="22" spans="2:22">
      <c r="B22" s="4" t="s">
        <v>268</v>
      </c>
      <c r="C22" s="29">
        <f>'ROI Questionnaire'!D39</f>
        <v>100000</v>
      </c>
      <c r="D22" s="29">
        <f>'ROI Questionnaire'!D40</f>
        <v>5000</v>
      </c>
      <c r="E22" s="29">
        <f>'ROI Questionnaire'!D41</f>
        <v>5000</v>
      </c>
      <c r="F22" s="29">
        <f>'ROI Questionnaire'!D42</f>
        <v>5000</v>
      </c>
      <c r="G22" s="29">
        <f>'ROI Questionnaire'!D43</f>
        <v>5000</v>
      </c>
      <c r="H22" s="14">
        <f>SUM(C22:G22)</f>
        <v>120000</v>
      </c>
      <c r="K22" s="80"/>
      <c r="L22" s="80"/>
      <c r="M22" s="80"/>
      <c r="N22" s="80"/>
      <c r="O22" s="80"/>
      <c r="Q22" s="75" t="s">
        <v>92</v>
      </c>
    </row>
    <row r="23" spans="2:22">
      <c r="B23" s="4" t="s">
        <v>65</v>
      </c>
      <c r="C23" s="29">
        <f>'ROI Questionnaire'!D46</f>
        <v>0</v>
      </c>
      <c r="D23" s="29">
        <f>'ROI Questionnaire'!D47</f>
        <v>0</v>
      </c>
      <c r="E23" s="29">
        <f>'ROI Questionnaire'!D48</f>
        <v>0</v>
      </c>
      <c r="F23" s="29">
        <f>'ROI Questionnaire'!D49</f>
        <v>0</v>
      </c>
      <c r="G23" s="29">
        <f>'ROI Questionnaire'!D50</f>
        <v>0</v>
      </c>
      <c r="H23" s="14">
        <f>SUM(C23:G23)</f>
        <v>0</v>
      </c>
      <c r="K23" s="80"/>
      <c r="L23" s="80"/>
      <c r="M23" s="80"/>
      <c r="N23" s="80"/>
      <c r="O23" s="80"/>
      <c r="Q23" s="5" t="s">
        <v>88</v>
      </c>
      <c r="R23" s="5" t="s">
        <v>21</v>
      </c>
      <c r="S23" s="5" t="s">
        <v>22</v>
      </c>
      <c r="T23" s="5" t="s">
        <v>23</v>
      </c>
      <c r="U23" s="5" t="s">
        <v>24</v>
      </c>
      <c r="V23" s="5" t="s">
        <v>30</v>
      </c>
    </row>
    <row r="24" spans="2:22">
      <c r="B24" s="237" t="s">
        <v>66</v>
      </c>
      <c r="C24" s="29">
        <f>'ROI Questionnaire'!D54</f>
        <v>0</v>
      </c>
      <c r="D24" s="29">
        <f>'ROI Questionnaire'!D55</f>
        <v>0</v>
      </c>
      <c r="E24" s="29">
        <f>'ROI Questionnaire'!D56</f>
        <v>0</v>
      </c>
      <c r="F24" s="29">
        <f>'ROI Questionnaire'!D57</f>
        <v>0</v>
      </c>
      <c r="G24" s="29">
        <f>'ROI Questionnaire'!D58</f>
        <v>0</v>
      </c>
      <c r="H24" s="14">
        <f>SUM(C24:G24)</f>
        <v>0</v>
      </c>
      <c r="Q24" s="2">
        <v>1</v>
      </c>
      <c r="R24" s="24">
        <f>K8</f>
        <v>0.5</v>
      </c>
      <c r="S24" s="24">
        <f>L8</f>
        <v>0.67</v>
      </c>
      <c r="T24" s="24">
        <f>M8</f>
        <v>0.83</v>
      </c>
      <c r="U24" s="24">
        <f>N8</f>
        <v>1</v>
      </c>
      <c r="V24" s="24">
        <f>O8</f>
        <v>1</v>
      </c>
    </row>
    <row r="25" spans="2:22" ht="13.5" thickBot="1">
      <c r="B25" s="12" t="s">
        <v>67</v>
      </c>
      <c r="C25" s="82">
        <f>'ROI Questionnaire'!D62</f>
        <v>-140000</v>
      </c>
      <c r="D25" s="82">
        <f>'ROI Questionnaire'!D63</f>
        <v>0</v>
      </c>
      <c r="E25" s="82">
        <f>'ROI Questionnaire'!D64</f>
        <v>0</v>
      </c>
      <c r="F25" s="82">
        <f>'ROI Questionnaire'!D65</f>
        <v>0</v>
      </c>
      <c r="G25" s="82">
        <f>'ROI Questionnaire'!D66</f>
        <v>0</v>
      </c>
      <c r="H25" s="13">
        <f>SUM(C25:G25)</f>
        <v>-140000</v>
      </c>
      <c r="J25" s="75"/>
      <c r="Q25" s="2">
        <v>2</v>
      </c>
      <c r="R25" s="24"/>
      <c r="S25" s="24">
        <f>R24</f>
        <v>0.5</v>
      </c>
      <c r="T25" s="24">
        <f>S24</f>
        <v>0.67</v>
      </c>
      <c r="U25" s="24">
        <f>T24</f>
        <v>0.83</v>
      </c>
      <c r="V25" s="24">
        <f>U24</f>
        <v>1</v>
      </c>
    </row>
    <row r="26" spans="2:22" ht="13.5" thickTop="1">
      <c r="B26" s="8" t="s">
        <v>28</v>
      </c>
      <c r="C26" s="15">
        <f t="shared" ref="C26:H26" si="0">SUM(C21:C25)</f>
        <v>-26886.800000000003</v>
      </c>
      <c r="D26" s="15">
        <f t="shared" si="0"/>
        <v>18113.2</v>
      </c>
      <c r="E26" s="15">
        <f t="shared" si="0"/>
        <v>18113.2</v>
      </c>
      <c r="F26" s="15">
        <f t="shared" si="0"/>
        <v>18113.2</v>
      </c>
      <c r="G26" s="15">
        <f t="shared" si="0"/>
        <v>18113.2</v>
      </c>
      <c r="H26" s="16">
        <f t="shared" si="0"/>
        <v>45566</v>
      </c>
      <c r="J26" s="66"/>
      <c r="K26" s="66"/>
      <c r="L26" s="66"/>
      <c r="M26" s="66"/>
      <c r="N26" s="66"/>
      <c r="O26" s="66"/>
      <c r="Q26" s="2">
        <v>3</v>
      </c>
      <c r="R26" s="24"/>
      <c r="S26" s="24"/>
      <c r="T26" s="24">
        <f>S25</f>
        <v>0.5</v>
      </c>
      <c r="U26" s="24">
        <f>T25</f>
        <v>0.67</v>
      </c>
      <c r="V26" s="24">
        <f>U25</f>
        <v>0.83</v>
      </c>
    </row>
    <row r="27" spans="2:22">
      <c r="K27" s="80"/>
      <c r="L27" s="80"/>
      <c r="M27" s="80"/>
      <c r="N27" s="80"/>
      <c r="O27" s="80"/>
      <c r="P27" s="17"/>
      <c r="Q27" s="2">
        <v>4</v>
      </c>
      <c r="R27" s="24"/>
      <c r="S27" s="24"/>
      <c r="T27" s="24"/>
      <c r="U27" s="24">
        <f>T26</f>
        <v>0.5</v>
      </c>
      <c r="V27" s="24">
        <f>U26</f>
        <v>0.67</v>
      </c>
    </row>
    <row r="28" spans="2:22">
      <c r="K28" s="80"/>
      <c r="L28" s="80"/>
      <c r="M28" s="80"/>
      <c r="N28" s="80"/>
      <c r="O28" s="80"/>
      <c r="P28" s="17"/>
      <c r="Q28" s="2">
        <v>5</v>
      </c>
      <c r="R28" s="24"/>
      <c r="S28" s="24"/>
      <c r="T28" s="24"/>
      <c r="U28" s="24"/>
      <c r="V28" s="24">
        <f>U27</f>
        <v>0.5</v>
      </c>
    </row>
    <row r="29" spans="2:22">
      <c r="B29" s="7" t="s">
        <v>77</v>
      </c>
      <c r="C29" s="5" t="s">
        <v>21</v>
      </c>
      <c r="D29" s="5" t="s">
        <v>22</v>
      </c>
      <c r="E29" s="5" t="s">
        <v>23</v>
      </c>
      <c r="F29" s="5" t="s">
        <v>24</v>
      </c>
      <c r="G29" s="5" t="s">
        <v>30</v>
      </c>
      <c r="H29" s="9" t="s">
        <v>28</v>
      </c>
      <c r="K29" s="80"/>
      <c r="L29" s="80"/>
      <c r="M29" s="80"/>
      <c r="N29" s="80"/>
      <c r="O29" s="80"/>
      <c r="Q29" s="2" t="s">
        <v>90</v>
      </c>
      <c r="R29" s="54">
        <f>AVERAGE(R24)</f>
        <v>0.5</v>
      </c>
      <c r="S29" s="24">
        <f>AVERAGE(S24:S25)</f>
        <v>0.58499999999999996</v>
      </c>
      <c r="T29" s="24">
        <f>AVERAGE(T24:T26)</f>
        <v>0.66666666666666663</v>
      </c>
      <c r="U29" s="24">
        <f>AVERAGE(U24:U27)</f>
        <v>0.75</v>
      </c>
      <c r="V29" s="24">
        <f>AVERAGE(V24:V28)</f>
        <v>0.8</v>
      </c>
    </row>
    <row r="30" spans="2:22">
      <c r="B30" s="4" t="s">
        <v>68</v>
      </c>
      <c r="C30" s="30">
        <f>'ROI Questionnaire'!D70</f>
        <v>4683</v>
      </c>
      <c r="D30" s="30">
        <f>C30*(1+$C$7)</f>
        <v>4683</v>
      </c>
      <c r="E30" s="30">
        <f>D30*(1+$C$7)</f>
        <v>4683</v>
      </c>
      <c r="F30" s="30">
        <f>E30*(1+$C$7)</f>
        <v>4683</v>
      </c>
      <c r="G30" s="30">
        <f>F30*(1+$C$7)</f>
        <v>4683</v>
      </c>
      <c r="H30" s="28">
        <f>SUM(C30:G30)</f>
        <v>23415</v>
      </c>
      <c r="K30" s="80"/>
      <c r="L30" s="80"/>
      <c r="M30" s="80"/>
      <c r="N30" s="80"/>
      <c r="O30" s="80"/>
    </row>
    <row r="31" spans="2:22">
      <c r="B31" s="4" t="s">
        <v>122</v>
      </c>
      <c r="C31" s="30">
        <f>'ROI Questionnaire'!D74</f>
        <v>62400</v>
      </c>
      <c r="D31" s="30">
        <f>C31*(1+$C$8)</f>
        <v>62400</v>
      </c>
      <c r="E31" s="30">
        <f>D31*(1+$C$8)</f>
        <v>62400</v>
      </c>
      <c r="F31" s="30">
        <f>E31*(1+$C$8)</f>
        <v>62400</v>
      </c>
      <c r="G31" s="30">
        <f>F31*(1+$C$8)</f>
        <v>62400</v>
      </c>
      <c r="H31" s="28">
        <f>SUM(C31:G31)</f>
        <v>312000</v>
      </c>
      <c r="J31" s="1" t="s">
        <v>56</v>
      </c>
      <c r="Q31" s="75" t="s">
        <v>93</v>
      </c>
    </row>
    <row r="32" spans="2:22">
      <c r="B32" s="4" t="s">
        <v>69</v>
      </c>
      <c r="C32" s="31">
        <f>'ROI Questionnaire'!D78</f>
        <v>0.32</v>
      </c>
      <c r="D32" s="31">
        <f>C32*(1+$C$9)</f>
        <v>0.32</v>
      </c>
      <c r="E32" s="31">
        <f>D32*(1+$C$9)</f>
        <v>0.32</v>
      </c>
      <c r="F32" s="31">
        <f>E32*(1+$C$9)</f>
        <v>0.32</v>
      </c>
      <c r="G32" s="31">
        <f>F32*(1+$C$9)</f>
        <v>0.32</v>
      </c>
      <c r="H32" s="43">
        <f>(C31*C32)+(D31*D32)+(E31*E32)+(F31*F32)+(G31*G32)</f>
        <v>99840</v>
      </c>
      <c r="J32" s="5" t="s">
        <v>55</v>
      </c>
      <c r="K32" s="5" t="s">
        <v>21</v>
      </c>
      <c r="L32" s="5" t="s">
        <v>22</v>
      </c>
      <c r="M32" s="5" t="s">
        <v>23</v>
      </c>
      <c r="N32" s="5" t="s">
        <v>24</v>
      </c>
      <c r="O32" s="5" t="s">
        <v>30</v>
      </c>
      <c r="Q32" s="5" t="s">
        <v>88</v>
      </c>
      <c r="R32" s="5" t="s">
        <v>21</v>
      </c>
      <c r="S32" s="5" t="s">
        <v>22</v>
      </c>
      <c r="T32" s="5" t="s">
        <v>23</v>
      </c>
      <c r="U32" s="5" t="s">
        <v>24</v>
      </c>
      <c r="V32" s="5" t="s">
        <v>30</v>
      </c>
    </row>
    <row r="33" spans="2:22">
      <c r="B33" s="8" t="s">
        <v>28</v>
      </c>
      <c r="C33" s="11">
        <f>C30+C31+(C31*C32)</f>
        <v>87051</v>
      </c>
      <c r="D33" s="11">
        <f>D30+D31+(D31*D32)</f>
        <v>87051</v>
      </c>
      <c r="E33" s="11">
        <f>E30+E31+(E31*E32)</f>
        <v>87051</v>
      </c>
      <c r="F33" s="11">
        <f>F30+F31+(F31*F32)</f>
        <v>87051</v>
      </c>
      <c r="G33" s="11">
        <f>G30+G31+(G31*G32)</f>
        <v>87051</v>
      </c>
      <c r="H33" s="10">
        <f>SUM(C33:G33)</f>
        <v>435255</v>
      </c>
      <c r="J33" s="2">
        <v>1</v>
      </c>
      <c r="K33" s="2">
        <f>C94</f>
        <v>10</v>
      </c>
      <c r="L33" s="2">
        <f>K33+D94</f>
        <v>20</v>
      </c>
      <c r="M33" s="2">
        <f>L33+E94</f>
        <v>30</v>
      </c>
      <c r="N33" s="2">
        <f>M33+F94</f>
        <v>40</v>
      </c>
      <c r="O33" s="2">
        <f>N33+G94</f>
        <v>50</v>
      </c>
      <c r="Q33" s="2">
        <v>1</v>
      </c>
      <c r="R33" s="24">
        <f>K9</f>
        <v>0.5</v>
      </c>
      <c r="S33" s="24">
        <f>L9</f>
        <v>0.63</v>
      </c>
      <c r="T33" s="24">
        <f>M9</f>
        <v>0.75</v>
      </c>
      <c r="U33" s="24">
        <f>N9</f>
        <v>0.88</v>
      </c>
      <c r="V33" s="24">
        <f>O9</f>
        <v>1</v>
      </c>
    </row>
    <row r="34" spans="2:22">
      <c r="J34" s="2">
        <v>2</v>
      </c>
      <c r="K34" s="2">
        <f>K33</f>
        <v>10</v>
      </c>
      <c r="L34" s="2">
        <f t="shared" ref="L34:O36" si="1">L33</f>
        <v>20</v>
      </c>
      <c r="M34" s="2">
        <f t="shared" si="1"/>
        <v>30</v>
      </c>
      <c r="N34" s="2">
        <f t="shared" si="1"/>
        <v>40</v>
      </c>
      <c r="O34" s="2">
        <f t="shared" si="1"/>
        <v>50</v>
      </c>
      <c r="Q34" s="2">
        <v>2</v>
      </c>
      <c r="R34" s="24"/>
      <c r="S34" s="24">
        <f>R33</f>
        <v>0.5</v>
      </c>
      <c r="T34" s="24">
        <f>S33</f>
        <v>0.63</v>
      </c>
      <c r="U34" s="24">
        <f>T33</f>
        <v>0.75</v>
      </c>
      <c r="V34" s="24">
        <f>U33</f>
        <v>0.88</v>
      </c>
    </row>
    <row r="35" spans="2:22">
      <c r="J35" s="2">
        <v>3</v>
      </c>
      <c r="K35" s="2">
        <f>K34</f>
        <v>10</v>
      </c>
      <c r="L35" s="2">
        <f t="shared" si="1"/>
        <v>20</v>
      </c>
      <c r="M35" s="2">
        <f t="shared" si="1"/>
        <v>30</v>
      </c>
      <c r="N35" s="2">
        <f t="shared" si="1"/>
        <v>40</v>
      </c>
      <c r="O35" s="2">
        <f t="shared" si="1"/>
        <v>50</v>
      </c>
      <c r="Q35" s="2">
        <v>3</v>
      </c>
      <c r="R35" s="24"/>
      <c r="S35" s="24"/>
      <c r="T35" s="24">
        <f>S34</f>
        <v>0.5</v>
      </c>
      <c r="U35" s="24">
        <f>T34</f>
        <v>0.63</v>
      </c>
      <c r="V35" s="24">
        <f>U34</f>
        <v>0.75</v>
      </c>
    </row>
    <row r="36" spans="2:22">
      <c r="B36" s="7" t="s">
        <v>78</v>
      </c>
      <c r="C36" s="5" t="s">
        <v>21</v>
      </c>
      <c r="D36" s="5" t="s">
        <v>22</v>
      </c>
      <c r="E36" s="5" t="s">
        <v>23</v>
      </c>
      <c r="F36" s="5" t="s">
        <v>24</v>
      </c>
      <c r="G36" s="5" t="s">
        <v>30</v>
      </c>
      <c r="H36" s="9" t="s">
        <v>28</v>
      </c>
      <c r="J36" s="2">
        <v>4</v>
      </c>
      <c r="K36" s="2">
        <f>K35</f>
        <v>10</v>
      </c>
      <c r="L36" s="2">
        <f t="shared" si="1"/>
        <v>20</v>
      </c>
      <c r="M36" s="2">
        <f t="shared" si="1"/>
        <v>30</v>
      </c>
      <c r="N36" s="2">
        <f t="shared" si="1"/>
        <v>40</v>
      </c>
      <c r="O36" s="2">
        <f t="shared" si="1"/>
        <v>50</v>
      </c>
      <c r="Q36" s="2">
        <v>4</v>
      </c>
      <c r="R36" s="24"/>
      <c r="S36" s="24"/>
      <c r="T36" s="24"/>
      <c r="U36" s="24">
        <f>T35</f>
        <v>0.5</v>
      </c>
      <c r="V36" s="24">
        <f>U35</f>
        <v>0.63</v>
      </c>
    </row>
    <row r="37" spans="2:22">
      <c r="B37" s="4" t="s">
        <v>68</v>
      </c>
      <c r="C37" s="30">
        <f>'ROI Questionnaire'!D84</f>
        <v>2341.5</v>
      </c>
      <c r="D37" s="30">
        <f>C37*(1+$C$7)</f>
        <v>2341.5</v>
      </c>
      <c r="E37" s="30">
        <f>D37*(1+$C$7)</f>
        <v>2341.5</v>
      </c>
      <c r="F37" s="30">
        <f>E37*(1+$C$7)</f>
        <v>2341.5</v>
      </c>
      <c r="G37" s="30">
        <f>F37*(1+$C$7)</f>
        <v>2341.5</v>
      </c>
      <c r="H37" s="28">
        <f>SUM(C37:G37)</f>
        <v>11707.5</v>
      </c>
      <c r="Q37" s="2">
        <v>5</v>
      </c>
      <c r="R37" s="24"/>
      <c r="S37" s="24"/>
      <c r="T37" s="24"/>
      <c r="U37" s="24"/>
      <c r="V37" s="24">
        <f>U36</f>
        <v>0.5</v>
      </c>
    </row>
    <row r="38" spans="2:22">
      <c r="B38" s="4" t="s">
        <v>109</v>
      </c>
      <c r="C38" s="30">
        <f>'ROI Questionnaire'!D88</f>
        <v>52000</v>
      </c>
      <c r="D38" s="30">
        <f>C38*(1+$C$8)</f>
        <v>52000</v>
      </c>
      <c r="E38" s="30">
        <f>D38*(1+$C$8)</f>
        <v>52000</v>
      </c>
      <c r="F38" s="30">
        <f>E38*(1+$C$8)</f>
        <v>52000</v>
      </c>
      <c r="G38" s="30">
        <f>F38*(1+$C$8)</f>
        <v>52000</v>
      </c>
      <c r="H38" s="28">
        <f>SUM(C38:G38)</f>
        <v>260000</v>
      </c>
      <c r="Q38" s="2" t="s">
        <v>90</v>
      </c>
      <c r="R38" s="54">
        <f>AVERAGE(R33)</f>
        <v>0.5</v>
      </c>
      <c r="S38" s="24">
        <f>AVERAGE(S33:S34)</f>
        <v>0.56499999999999995</v>
      </c>
      <c r="T38" s="24">
        <f>AVERAGE(T33:T35)</f>
        <v>0.62666666666666659</v>
      </c>
      <c r="U38" s="24">
        <f>AVERAGE(U33:U36)</f>
        <v>0.69</v>
      </c>
      <c r="V38" s="24">
        <f>AVERAGE(V33:V37)</f>
        <v>0.752</v>
      </c>
    </row>
    <row r="39" spans="2:22">
      <c r="B39" s="4" t="s">
        <v>113</v>
      </c>
      <c r="C39" s="31">
        <f>VLOOKUP(C5,Q79:V83,2)</f>
        <v>0.5</v>
      </c>
      <c r="D39" s="31">
        <f>VLOOKUP(C5,Q79:V83,3)</f>
        <v>0.58499999999999996</v>
      </c>
      <c r="E39" s="31">
        <f>VLOOKUP(C5,Q79:V83,4)</f>
        <v>0.66666666666666663</v>
      </c>
      <c r="F39" s="31">
        <f>VLOOKUP(C5,Q79:V83,5)</f>
        <v>0.75</v>
      </c>
      <c r="G39" s="31">
        <f>VLOOKUP(C5,Q79:V83,6)</f>
        <v>0.8</v>
      </c>
      <c r="H39" s="28">
        <f>(C31*C39)+(D31*D39)+(E31*E39)+(F31*F39)+(G31*G39)</f>
        <v>206024</v>
      </c>
      <c r="L39" s="20"/>
      <c r="N39" s="20"/>
    </row>
    <row r="40" spans="2:22">
      <c r="B40" s="4" t="s">
        <v>69</v>
      </c>
      <c r="C40" s="31">
        <f>'ROI Questionnaire'!D78</f>
        <v>0.32</v>
      </c>
      <c r="D40" s="31">
        <f>C40*(1+$C$9)</f>
        <v>0.32</v>
      </c>
      <c r="E40" s="31">
        <f>D40*(1+$C$9)</f>
        <v>0.32</v>
      </c>
      <c r="F40" s="31">
        <f>E40*(1+$C$9)</f>
        <v>0.32</v>
      </c>
      <c r="G40" s="31">
        <f>F40*(1+$C$9)</f>
        <v>0.32</v>
      </c>
      <c r="H40" s="28">
        <f>(C31*C39*C40)+(D31*D39*D40)+(E31*E39*E40)+(F31*F39*F40)+(G31*G39*G40)</f>
        <v>65927.679999999993</v>
      </c>
      <c r="J40" s="17"/>
      <c r="M40" s="17"/>
      <c r="N40" s="17"/>
    </row>
    <row r="41" spans="2:22">
      <c r="B41" s="32" t="s">
        <v>70</v>
      </c>
      <c r="C41" s="30">
        <f>'ROI Questionnaire'!D96</f>
        <v>3750</v>
      </c>
      <c r="D41" s="30">
        <f>VLOOKUP(C5,J48:N52,2)</f>
        <v>3750</v>
      </c>
      <c r="E41" s="30">
        <f>VLOOKUP(C5,J48:N52,3)</f>
        <v>3750</v>
      </c>
      <c r="F41" s="30">
        <f>VLOOKUP(C5,J48:N52,4)</f>
        <v>3750</v>
      </c>
      <c r="G41" s="30">
        <f>VLOOKUP(C5,J48:N52,5)</f>
        <v>3750</v>
      </c>
      <c r="H41" s="28">
        <f>SUM(C41:G41)</f>
        <v>18750</v>
      </c>
      <c r="Q41" s="75" t="s">
        <v>94</v>
      </c>
    </row>
    <row r="42" spans="2:22">
      <c r="B42" s="4" t="s">
        <v>71</v>
      </c>
      <c r="C42" s="30">
        <f>'ROI Questionnaire'!D100</f>
        <v>0</v>
      </c>
      <c r="D42" s="30">
        <f>VLOOKUP(C5,J54:N58,2)</f>
        <v>0</v>
      </c>
      <c r="E42" s="30">
        <f>VLOOKUP(C5,J54:N58,3)</f>
        <v>0</v>
      </c>
      <c r="F42" s="30">
        <f>VLOOKUP(C5,J54:N58,4)</f>
        <v>0</v>
      </c>
      <c r="G42" s="30">
        <f>VLOOKUP(C5,J54:N58,5)</f>
        <v>0</v>
      </c>
      <c r="H42" s="44">
        <f>SUM(C42:G42)</f>
        <v>0</v>
      </c>
      <c r="Q42" s="5" t="s">
        <v>88</v>
      </c>
      <c r="R42" s="5" t="s">
        <v>21</v>
      </c>
      <c r="S42" s="5" t="s">
        <v>22</v>
      </c>
      <c r="T42" s="5" t="s">
        <v>23</v>
      </c>
      <c r="U42" s="5" t="s">
        <v>24</v>
      </c>
      <c r="V42" s="5" t="s">
        <v>30</v>
      </c>
    </row>
    <row r="43" spans="2:22" ht="13.5" thickBot="1">
      <c r="B43" s="12" t="s">
        <v>72</v>
      </c>
      <c r="C43" s="85">
        <f>'ROI Questionnaire'!D105/C6</f>
        <v>-2000</v>
      </c>
      <c r="D43" s="85">
        <f>'ROI Questionnaire'!D106/C6</f>
        <v>-2000</v>
      </c>
      <c r="E43" s="85">
        <f>'ROI Questionnaire'!D107/C6</f>
        <v>-2000</v>
      </c>
      <c r="F43" s="85">
        <f>'ROI Questionnaire'!D108/C6</f>
        <v>-2000</v>
      </c>
      <c r="G43" s="85">
        <f>'ROI Questionnaire'!D109/C6</f>
        <v>-2000</v>
      </c>
      <c r="H43" s="45">
        <f>SUM(C43:G43)</f>
        <v>-10000</v>
      </c>
      <c r="Q43" s="2">
        <v>1</v>
      </c>
      <c r="R43" s="24">
        <f>K13</f>
        <v>0.5</v>
      </c>
      <c r="S43" s="24">
        <f>L13</f>
        <v>1</v>
      </c>
      <c r="T43" s="24">
        <f>M13</f>
        <v>1</v>
      </c>
      <c r="U43" s="36">
        <f>N13</f>
        <v>1</v>
      </c>
      <c r="V43" s="36">
        <f>O13</f>
        <v>1</v>
      </c>
    </row>
    <row r="44" spans="2:22" ht="13.5" thickTop="1">
      <c r="B44" s="8" t="s">
        <v>28</v>
      </c>
      <c r="C44" s="11">
        <f>C37+(C39*C38*(1+C40))+C41+C42+C43</f>
        <v>38411.5</v>
      </c>
      <c r="D44" s="11">
        <f>D37+(D39*D38*(1+D40))+D41+D42+D43</f>
        <v>44245.899999999994</v>
      </c>
      <c r="E44" s="11">
        <f>E37+(E39*E38*(1+E40)+E41+E42+E43)</f>
        <v>49851.5</v>
      </c>
      <c r="F44" s="11">
        <f>F37+(F39*F38*(1+F40))+F41+F42+F43</f>
        <v>55571.5</v>
      </c>
      <c r="G44" s="11">
        <f>G37+(G39*G38*(1+G40))+G41+G42+G43</f>
        <v>59003.5</v>
      </c>
      <c r="H44" s="11">
        <f>SUM(H37:H43)</f>
        <v>552409.17999999993</v>
      </c>
      <c r="Q44" s="2">
        <v>2</v>
      </c>
      <c r="R44" s="24"/>
      <c r="S44" s="24">
        <f>R43</f>
        <v>0.5</v>
      </c>
      <c r="T44" s="24">
        <f>S43</f>
        <v>1</v>
      </c>
      <c r="U44" s="24">
        <f>T43</f>
        <v>1</v>
      </c>
      <c r="V44" s="24">
        <f>U43</f>
        <v>1</v>
      </c>
    </row>
    <row r="45" spans="2:22">
      <c r="I45" s="17"/>
      <c r="Q45" s="2">
        <v>3</v>
      </c>
      <c r="R45" s="24"/>
      <c r="S45" s="24"/>
      <c r="T45" s="24">
        <f>S44</f>
        <v>0.5</v>
      </c>
      <c r="U45" s="24">
        <f>T44</f>
        <v>1</v>
      </c>
      <c r="V45" s="24">
        <f>U44</f>
        <v>1</v>
      </c>
    </row>
    <row r="46" spans="2:22">
      <c r="H46" s="17"/>
      <c r="Q46" s="2">
        <v>4</v>
      </c>
      <c r="R46" s="24"/>
      <c r="S46" s="24"/>
      <c r="T46" s="24"/>
      <c r="U46" s="24">
        <f>T45</f>
        <v>0.5</v>
      </c>
      <c r="V46" s="24">
        <f>U45</f>
        <v>1</v>
      </c>
    </row>
    <row r="47" spans="2:22">
      <c r="B47" s="7" t="s">
        <v>31</v>
      </c>
      <c r="C47" s="5" t="s">
        <v>21</v>
      </c>
      <c r="D47" s="5" t="s">
        <v>22</v>
      </c>
      <c r="E47" s="5" t="s">
        <v>23</v>
      </c>
      <c r="F47" s="5" t="s">
        <v>24</v>
      </c>
      <c r="G47" s="5" t="s">
        <v>30</v>
      </c>
      <c r="H47" s="9" t="s">
        <v>28</v>
      </c>
      <c r="Q47" s="2">
        <v>5</v>
      </c>
      <c r="R47" s="24"/>
      <c r="S47" s="24"/>
      <c r="T47" s="24"/>
      <c r="U47" s="24"/>
      <c r="V47" s="24">
        <f>U46</f>
        <v>0.5</v>
      </c>
    </row>
    <row r="48" spans="2:22">
      <c r="B48" s="4" t="s">
        <v>84</v>
      </c>
      <c r="C48" s="39">
        <f>'ROI Questionnaire'!D113</f>
        <v>219000</v>
      </c>
      <c r="D48" s="39">
        <f>C48*(1+$C$12)</f>
        <v>219000</v>
      </c>
      <c r="E48" s="39">
        <f>D48*(1+$C$12)</f>
        <v>219000</v>
      </c>
      <c r="F48" s="39">
        <f>E48*(1+$C$12)</f>
        <v>219000</v>
      </c>
      <c r="G48" s="39">
        <f>F48*(1+$C$12)</f>
        <v>219000</v>
      </c>
      <c r="H48" s="18">
        <f>SUM(C48:G48)</f>
        <v>1095000</v>
      </c>
      <c r="J48" s="5" t="s">
        <v>51</v>
      </c>
      <c r="K48" s="5" t="s">
        <v>22</v>
      </c>
      <c r="L48" s="5" t="s">
        <v>23</v>
      </c>
      <c r="M48" s="5" t="s">
        <v>24</v>
      </c>
      <c r="N48" s="5" t="s">
        <v>30</v>
      </c>
      <c r="Q48" s="2" t="s">
        <v>90</v>
      </c>
      <c r="R48" s="54">
        <f>AVERAGE(R43)</f>
        <v>0.5</v>
      </c>
      <c r="S48" s="24">
        <f>AVERAGE(S43:S44)</f>
        <v>0.75</v>
      </c>
      <c r="T48" s="24">
        <f>AVERAGE(T43:T45)</f>
        <v>0.83333333333333337</v>
      </c>
      <c r="U48" s="24">
        <f>AVERAGE(U43:U46)</f>
        <v>0.875</v>
      </c>
      <c r="V48" s="24">
        <f>AVERAGE(V43:V47)</f>
        <v>0.9</v>
      </c>
    </row>
    <row r="49" spans="2:22" ht="13.5" thickBot="1">
      <c r="B49" s="19" t="s">
        <v>112</v>
      </c>
      <c r="C49" s="34">
        <f>'ROI Questionnaire'!D118</f>
        <v>0.9</v>
      </c>
      <c r="D49" s="34">
        <f>('ROI Questionnaire'!D119+C49)/2</f>
        <v>0.95</v>
      </c>
      <c r="E49" s="34">
        <f>('ROI Questionnaire'!D120+'ROI Questionnaire'!D119+'ROI Questionnaire'!D118)/3</f>
        <v>0.96666666666666667</v>
      </c>
      <c r="F49" s="34">
        <f>('ROI Questionnaire'!D121+'ROI Questionnaire'!D120+'ROI Questionnaire'!D119+'ROI Questionnaire'!D118)/4</f>
        <v>0.97499999999999998</v>
      </c>
      <c r="G49" s="34">
        <f>('ROI Questionnaire'!D122+'ROI Questionnaire'!D121+'ROI Questionnaire'!D120+'ROI Questionnaire'!D119+'ROI Questionnaire'!D118)/5</f>
        <v>0.98000000000000009</v>
      </c>
      <c r="H49" s="209">
        <f>AVERAGE(C49,D49,E49,F49,G49)</f>
        <v>0.95433333333333348</v>
      </c>
      <c r="J49" s="2">
        <v>1</v>
      </c>
      <c r="K49" s="3">
        <f>$C$41*(1+$C$10)</f>
        <v>3750</v>
      </c>
      <c r="L49" s="3">
        <f t="shared" ref="L49:L50" si="2">$D$41*(1+$C$10)</f>
        <v>3750</v>
      </c>
      <c r="M49" s="3">
        <f t="shared" ref="M49:M51" si="3">$E$41*(1+$C$10)</f>
        <v>3750</v>
      </c>
      <c r="N49" s="3">
        <f t="shared" ref="N49:N51" si="4">$F$41*(1+$C$10)</f>
        <v>3750</v>
      </c>
    </row>
    <row r="50" spans="2:22" ht="13.5" thickTop="1">
      <c r="B50" s="8" t="s">
        <v>28</v>
      </c>
      <c r="C50" s="11">
        <f>C48*C49</f>
        <v>197100</v>
      </c>
      <c r="D50" s="11">
        <f>D48*D49</f>
        <v>208050</v>
      </c>
      <c r="E50" s="11">
        <f>E48*E49</f>
        <v>211700</v>
      </c>
      <c r="F50" s="11">
        <f>F48*F49</f>
        <v>213525</v>
      </c>
      <c r="G50" s="11">
        <f>G48*G49</f>
        <v>214620.00000000003</v>
      </c>
      <c r="H50" s="11">
        <f>SUM(C50:G50)</f>
        <v>1044995</v>
      </c>
      <c r="J50" s="2">
        <v>2</v>
      </c>
      <c r="K50" s="3">
        <f>$C$41*(1+$C$10)</f>
        <v>3750</v>
      </c>
      <c r="L50" s="3">
        <f t="shared" si="2"/>
        <v>3750</v>
      </c>
      <c r="M50" s="3">
        <f t="shared" si="3"/>
        <v>3750</v>
      </c>
      <c r="N50" s="3">
        <f t="shared" si="4"/>
        <v>3750</v>
      </c>
      <c r="Q50" s="75" t="s">
        <v>95</v>
      </c>
    </row>
    <row r="51" spans="2:22">
      <c r="J51" s="2">
        <v>3</v>
      </c>
      <c r="K51" s="3">
        <f>$C$41*(1+$C$10)</f>
        <v>3750</v>
      </c>
      <c r="L51" s="3">
        <f>$D$41*(1+$C$10)</f>
        <v>3750</v>
      </c>
      <c r="M51" s="3">
        <f t="shared" si="3"/>
        <v>3750</v>
      </c>
      <c r="N51" s="3">
        <f t="shared" si="4"/>
        <v>3750</v>
      </c>
      <c r="Q51" s="5" t="s">
        <v>88</v>
      </c>
      <c r="R51" s="5" t="s">
        <v>21</v>
      </c>
      <c r="S51" s="5" t="s">
        <v>22</v>
      </c>
      <c r="T51" s="5" t="s">
        <v>23</v>
      </c>
      <c r="U51" s="5" t="s">
        <v>24</v>
      </c>
      <c r="V51" s="5" t="s">
        <v>30</v>
      </c>
    </row>
    <row r="52" spans="2:22">
      <c r="J52" s="2">
        <v>4</v>
      </c>
      <c r="K52" s="3">
        <f>$C$41*(1+$C$10)</f>
        <v>3750</v>
      </c>
      <c r="L52" s="3">
        <f>$D$41*(1+$C$10)</f>
        <v>3750</v>
      </c>
      <c r="M52" s="3">
        <f>$E$41*(1+$C$10)</f>
        <v>3750</v>
      </c>
      <c r="N52" s="3">
        <f>$F$41*(1+$C$10)</f>
        <v>3750</v>
      </c>
      <c r="Q52" s="2">
        <v>1</v>
      </c>
      <c r="R52" s="24">
        <f>K14</f>
        <v>0.33</v>
      </c>
      <c r="S52" s="24">
        <f>L14</f>
        <v>0.66</v>
      </c>
      <c r="T52" s="24">
        <f>M14</f>
        <v>1</v>
      </c>
      <c r="U52" s="36">
        <f>N14</f>
        <v>1</v>
      </c>
      <c r="V52" s="36">
        <f>O14</f>
        <v>1</v>
      </c>
    </row>
    <row r="53" spans="2:22">
      <c r="B53" s="7" t="s">
        <v>32</v>
      </c>
      <c r="C53" s="5" t="s">
        <v>21</v>
      </c>
      <c r="D53" s="5" t="s">
        <v>22</v>
      </c>
      <c r="E53" s="5" t="s">
        <v>23</v>
      </c>
      <c r="F53" s="5" t="s">
        <v>24</v>
      </c>
      <c r="G53" s="5" t="s">
        <v>30</v>
      </c>
      <c r="H53" s="9" t="s">
        <v>28</v>
      </c>
      <c r="Q53" s="2">
        <v>2</v>
      </c>
      <c r="R53" s="24"/>
      <c r="S53" s="24">
        <f>R52</f>
        <v>0.33</v>
      </c>
      <c r="T53" s="24">
        <f>S52</f>
        <v>0.66</v>
      </c>
      <c r="U53" s="24">
        <f>T52</f>
        <v>1</v>
      </c>
      <c r="V53" s="36">
        <f>U52</f>
        <v>1</v>
      </c>
    </row>
    <row r="54" spans="2:22">
      <c r="B54" s="4" t="s">
        <v>84</v>
      </c>
      <c r="C54" s="39">
        <f>'ROI Questionnaire'!D113</f>
        <v>219000</v>
      </c>
      <c r="D54" s="39">
        <f>C54*(1+$C$12)</f>
        <v>219000</v>
      </c>
      <c r="E54" s="39">
        <f>D54*(1+$C$12)</f>
        <v>219000</v>
      </c>
      <c r="F54" s="39">
        <f>E54*(1+$C$12)</f>
        <v>219000</v>
      </c>
      <c r="G54" s="39">
        <f>F54*(1+$C$12)</f>
        <v>219000</v>
      </c>
      <c r="H54" s="18">
        <f>SUM(C54:G54)</f>
        <v>1095000</v>
      </c>
      <c r="J54" s="5" t="s">
        <v>52</v>
      </c>
      <c r="K54" s="5" t="s">
        <v>22</v>
      </c>
      <c r="L54" s="5" t="s">
        <v>23</v>
      </c>
      <c r="M54" s="5" t="s">
        <v>24</v>
      </c>
      <c r="N54" s="5" t="s">
        <v>30</v>
      </c>
      <c r="Q54" s="2">
        <v>3</v>
      </c>
      <c r="R54" s="24"/>
      <c r="S54" s="24"/>
      <c r="T54" s="24">
        <f>S53</f>
        <v>0.33</v>
      </c>
      <c r="U54" s="24">
        <f>T53</f>
        <v>0.66</v>
      </c>
      <c r="V54" s="24">
        <f>U53</f>
        <v>1</v>
      </c>
    </row>
    <row r="55" spans="2:22" ht="13.5" thickBot="1">
      <c r="B55" s="19" t="s">
        <v>111</v>
      </c>
      <c r="C55" s="34">
        <f>VLOOKUP(C5,Q87:V91,2)</f>
        <v>0.25</v>
      </c>
      <c r="D55" s="34">
        <f>VLOOKUP(C5,Q87:V91,3)</f>
        <v>0.375</v>
      </c>
      <c r="E55" s="34">
        <f>VLOOKUP(C5,Q87:V91,4)</f>
        <v>0.5</v>
      </c>
      <c r="F55" s="34">
        <f>VLOOKUP(C5,Q87:V91,5)</f>
        <v>0.625</v>
      </c>
      <c r="G55" s="34">
        <f>VLOOKUP(C5,Q87:V91,6)</f>
        <v>0.7</v>
      </c>
      <c r="H55" s="209">
        <f>AVERAGE(C55,D55,E55,F55,G55)</f>
        <v>0.49000000000000005</v>
      </c>
      <c r="I55" s="17"/>
      <c r="J55" s="2">
        <v>1</v>
      </c>
      <c r="K55" s="3">
        <v>0</v>
      </c>
      <c r="L55" s="3">
        <v>0</v>
      </c>
      <c r="M55" s="33">
        <v>0</v>
      </c>
      <c r="N55" s="33">
        <v>0</v>
      </c>
      <c r="Q55" s="2">
        <v>4</v>
      </c>
      <c r="R55" s="24"/>
      <c r="S55" s="24"/>
      <c r="T55" s="24"/>
      <c r="U55" s="24">
        <f>T54</f>
        <v>0.33</v>
      </c>
      <c r="V55" s="24">
        <f>U54</f>
        <v>0.66</v>
      </c>
    </row>
    <row r="56" spans="2:22" ht="13.5" thickTop="1">
      <c r="B56" s="8" t="s">
        <v>28</v>
      </c>
      <c r="C56" s="11">
        <f>C54*C55</f>
        <v>54750</v>
      </c>
      <c r="D56" s="11">
        <f>D54*D55</f>
        <v>82125</v>
      </c>
      <c r="E56" s="11">
        <f>E54*E55</f>
        <v>109500</v>
      </c>
      <c r="F56" s="11">
        <f>F54*F55</f>
        <v>136875</v>
      </c>
      <c r="G56" s="11">
        <f>G54*G55</f>
        <v>153300</v>
      </c>
      <c r="H56" s="11">
        <f>SUM(C56:G56)</f>
        <v>536550</v>
      </c>
      <c r="J56" s="2">
        <v>2</v>
      </c>
      <c r="K56" s="3">
        <f>$C$42*(1+$C$11)</f>
        <v>0</v>
      </c>
      <c r="L56" s="3">
        <v>0</v>
      </c>
      <c r="M56" s="3">
        <v>0</v>
      </c>
      <c r="N56" s="3">
        <v>0</v>
      </c>
      <c r="Q56" s="2">
        <v>5</v>
      </c>
      <c r="R56" s="24"/>
      <c r="S56" s="24"/>
      <c r="T56" s="24"/>
      <c r="U56" s="24"/>
      <c r="V56" s="24">
        <f>U55</f>
        <v>0.33</v>
      </c>
    </row>
    <row r="57" spans="2:22">
      <c r="B57" s="6"/>
      <c r="C57" s="47"/>
      <c r="D57" s="47"/>
      <c r="E57" s="47"/>
      <c r="F57" s="47"/>
      <c r="G57" s="47"/>
      <c r="H57" s="47"/>
      <c r="J57" s="2">
        <v>3</v>
      </c>
      <c r="K57" s="3">
        <f>$C$42*(1+$C$11)</f>
        <v>0</v>
      </c>
      <c r="L57" s="3">
        <f>$D$42*(1+$C$11)</f>
        <v>0</v>
      </c>
      <c r="M57" s="3">
        <v>0</v>
      </c>
      <c r="N57" s="3">
        <v>0</v>
      </c>
      <c r="Q57" s="2" t="s">
        <v>90</v>
      </c>
      <c r="R57" s="54">
        <f>AVERAGE(R52)</f>
        <v>0.33</v>
      </c>
      <c r="S57" s="24">
        <f>AVERAGE(S52:S53)</f>
        <v>0.495</v>
      </c>
      <c r="T57" s="24">
        <f>AVERAGE(T52:T54)</f>
        <v>0.66333333333333344</v>
      </c>
      <c r="U57" s="24">
        <f>AVERAGE(U52:U55)</f>
        <v>0.74750000000000005</v>
      </c>
      <c r="V57" s="24">
        <f>AVERAGE(V52:V56)</f>
        <v>0.79800000000000004</v>
      </c>
    </row>
    <row r="58" spans="2:22">
      <c r="J58" s="2">
        <v>4</v>
      </c>
      <c r="K58" s="3">
        <f>$C$42*(1+$C$11)</f>
        <v>0</v>
      </c>
      <c r="L58" s="3">
        <f>$D$42*(1+$C$11)</f>
        <v>0</v>
      </c>
      <c r="M58" s="3">
        <f>$E$42*(1+$C$11)</f>
        <v>0</v>
      </c>
      <c r="N58" s="3">
        <v>0</v>
      </c>
    </row>
    <row r="59" spans="2:22">
      <c r="B59" s="73" t="s">
        <v>106</v>
      </c>
      <c r="C59" s="48" t="s">
        <v>21</v>
      </c>
      <c r="D59" s="48" t="s">
        <v>22</v>
      </c>
      <c r="E59" s="48" t="s">
        <v>61</v>
      </c>
      <c r="F59" s="48" t="s">
        <v>24</v>
      </c>
      <c r="G59" s="48" t="s">
        <v>30</v>
      </c>
      <c r="H59" s="48" t="s">
        <v>0</v>
      </c>
      <c r="Q59" s="75" t="s">
        <v>96</v>
      </c>
    </row>
    <row r="60" spans="2:22">
      <c r="B60" s="161" t="s">
        <v>38</v>
      </c>
      <c r="C60" s="119">
        <f>C50</f>
        <v>197100</v>
      </c>
      <c r="D60" s="119">
        <f>D50</f>
        <v>208050</v>
      </c>
      <c r="E60" s="119">
        <f>E50</f>
        <v>211700</v>
      </c>
      <c r="F60" s="119">
        <f>F50</f>
        <v>213525</v>
      </c>
      <c r="G60" s="119">
        <f>G50</f>
        <v>214620.00000000003</v>
      </c>
      <c r="H60" s="119">
        <f>SUM(C60:G60)</f>
        <v>1044995</v>
      </c>
      <c r="Q60" s="5" t="s">
        <v>88</v>
      </c>
      <c r="R60" s="5" t="s">
        <v>21</v>
      </c>
      <c r="S60" s="5" t="s">
        <v>22</v>
      </c>
      <c r="T60" s="5" t="s">
        <v>23</v>
      </c>
      <c r="U60" s="5" t="s">
        <v>24</v>
      </c>
      <c r="V60" s="5" t="s">
        <v>30</v>
      </c>
    </row>
    <row r="61" spans="2:22">
      <c r="B61" s="161" t="s">
        <v>37</v>
      </c>
      <c r="C61" s="119">
        <f>C33+(C13*C14)+(C16*C17)</f>
        <v>95063.111988461547</v>
      </c>
      <c r="D61" s="119">
        <f>D33+(C13*C14)+(C16*C17)</f>
        <v>95063.111988461547</v>
      </c>
      <c r="E61" s="119">
        <f>E33+(C13*C14)+(C16*C17)</f>
        <v>95063.111988461547</v>
      </c>
      <c r="F61" s="119">
        <f>F33+(C13*C14)+(C16*C17)</f>
        <v>95063.111988461547</v>
      </c>
      <c r="G61" s="119">
        <f>G33+(C13*C14)+(C16*C17)</f>
        <v>95063.111988461547</v>
      </c>
      <c r="H61" s="119">
        <f>SUM(C61:G61)</f>
        <v>475315.55994230777</v>
      </c>
      <c r="J61" s="1" t="s">
        <v>60</v>
      </c>
      <c r="Q61" s="2">
        <v>1</v>
      </c>
      <c r="R61" s="24">
        <f>K15</f>
        <v>0.25</v>
      </c>
      <c r="S61" s="24">
        <f>L15</f>
        <v>0.5</v>
      </c>
      <c r="T61" s="24">
        <f>M15</f>
        <v>0.75</v>
      </c>
      <c r="U61" s="24">
        <f>N15</f>
        <v>1</v>
      </c>
      <c r="V61" s="24">
        <f>O15</f>
        <v>1</v>
      </c>
    </row>
    <row r="62" spans="2:22" ht="13.5" thickBot="1">
      <c r="B62" s="160" t="s">
        <v>26</v>
      </c>
      <c r="C62" s="120">
        <f t="shared" ref="C62:H62" si="5">C60-C61</f>
        <v>102036.88801153845</v>
      </c>
      <c r="D62" s="120">
        <f t="shared" si="5"/>
        <v>112986.88801153845</v>
      </c>
      <c r="E62" s="120">
        <f t="shared" si="5"/>
        <v>116636.88801153845</v>
      </c>
      <c r="F62" s="120">
        <f t="shared" si="5"/>
        <v>118461.88801153845</v>
      </c>
      <c r="G62" s="120">
        <f t="shared" si="5"/>
        <v>119556.88801153848</v>
      </c>
      <c r="H62" s="120">
        <f t="shared" si="5"/>
        <v>569679.44005769223</v>
      </c>
      <c r="J62" s="5" t="s">
        <v>116</v>
      </c>
      <c r="K62" s="5" t="s">
        <v>21</v>
      </c>
      <c r="L62" s="5" t="s">
        <v>22</v>
      </c>
      <c r="M62" s="5" t="s">
        <v>23</v>
      </c>
      <c r="N62" s="5" t="s">
        <v>24</v>
      </c>
      <c r="O62" s="5" t="s">
        <v>30</v>
      </c>
      <c r="Q62" s="2">
        <v>2</v>
      </c>
      <c r="R62" s="24"/>
      <c r="S62" s="24">
        <f>R61</f>
        <v>0.25</v>
      </c>
      <c r="T62" s="24">
        <f>S61</f>
        <v>0.5</v>
      </c>
      <c r="U62" s="24">
        <f>T61</f>
        <v>0.75</v>
      </c>
      <c r="V62" s="24">
        <f>U61</f>
        <v>1</v>
      </c>
    </row>
    <row r="63" spans="2:22" ht="13.5" thickTop="1">
      <c r="B63" s="113" t="s">
        <v>101</v>
      </c>
      <c r="C63" s="114">
        <f t="shared" ref="C63:H63" si="6">C62/C61</f>
        <v>1.0733594332986212</v>
      </c>
      <c r="D63" s="114">
        <f t="shared" si="6"/>
        <v>1.188546068481878</v>
      </c>
      <c r="E63" s="114">
        <f t="shared" si="6"/>
        <v>1.2269416135429636</v>
      </c>
      <c r="F63" s="114">
        <f t="shared" si="6"/>
        <v>1.2461393860735064</v>
      </c>
      <c r="G63" s="114">
        <f t="shared" si="6"/>
        <v>1.2576580495918324</v>
      </c>
      <c r="H63" s="114">
        <f t="shared" si="6"/>
        <v>1.1985289101977601</v>
      </c>
      <c r="J63" s="2">
        <v>1</v>
      </c>
      <c r="K63" s="2">
        <f>C95</f>
        <v>0</v>
      </c>
      <c r="L63" s="2">
        <f>D95</f>
        <v>10</v>
      </c>
      <c r="M63" s="2">
        <f>E95</f>
        <v>20</v>
      </c>
      <c r="N63" s="2">
        <f>F95</f>
        <v>30</v>
      </c>
      <c r="O63" s="2">
        <f>G95</f>
        <v>40</v>
      </c>
      <c r="Q63" s="2">
        <v>3</v>
      </c>
      <c r="R63" s="24"/>
      <c r="S63" s="24"/>
      <c r="T63" s="24">
        <f>S62</f>
        <v>0.25</v>
      </c>
      <c r="U63" s="24">
        <f>T62</f>
        <v>0.5</v>
      </c>
      <c r="V63" s="24">
        <f>U62</f>
        <v>0.75</v>
      </c>
    </row>
    <row r="64" spans="2:22">
      <c r="B64" s="90"/>
      <c r="C64" s="92"/>
      <c r="D64" s="92"/>
      <c r="E64" s="92"/>
      <c r="F64" s="92"/>
      <c r="G64" s="92"/>
      <c r="H64" s="92"/>
      <c r="J64" s="2">
        <v>2</v>
      </c>
      <c r="K64" s="2">
        <f>C103</f>
        <v>0</v>
      </c>
      <c r="L64" s="2">
        <f>D103</f>
        <v>0</v>
      </c>
      <c r="M64" s="2">
        <f>E103</f>
        <v>10</v>
      </c>
      <c r="N64" s="2">
        <f>F103</f>
        <v>20</v>
      </c>
      <c r="O64" s="2">
        <f>G103</f>
        <v>30</v>
      </c>
      <c r="Q64" s="2">
        <v>4</v>
      </c>
      <c r="R64" s="24"/>
      <c r="S64" s="24"/>
      <c r="T64" s="24"/>
      <c r="U64" s="24">
        <f>T63</f>
        <v>0.25</v>
      </c>
      <c r="V64" s="24">
        <f>U63</f>
        <v>0.5</v>
      </c>
    </row>
    <row r="65" spans="2:22">
      <c r="B65" s="6"/>
      <c r="C65" s="91"/>
      <c r="D65" s="91"/>
      <c r="E65" s="91"/>
      <c r="F65" s="91"/>
      <c r="G65" s="91"/>
      <c r="H65" s="91"/>
      <c r="J65" s="2">
        <v>3</v>
      </c>
      <c r="K65" s="2">
        <f>C111</f>
        <v>0</v>
      </c>
      <c r="L65" s="2">
        <f>D111</f>
        <v>0</v>
      </c>
      <c r="M65" s="2">
        <f>E111</f>
        <v>0</v>
      </c>
      <c r="N65" s="2">
        <f>F111</f>
        <v>10</v>
      </c>
      <c r="O65" s="2">
        <f>G111</f>
        <v>20</v>
      </c>
      <c r="Q65" s="2">
        <v>5</v>
      </c>
      <c r="R65" s="24"/>
      <c r="S65" s="24"/>
      <c r="T65" s="24"/>
      <c r="U65" s="24"/>
      <c r="V65" s="24">
        <f>U64</f>
        <v>0.25</v>
      </c>
    </row>
    <row r="66" spans="2:22">
      <c r="B66" s="73" t="s">
        <v>107</v>
      </c>
      <c r="C66" s="48" t="s">
        <v>21</v>
      </c>
      <c r="D66" s="48" t="s">
        <v>22</v>
      </c>
      <c r="E66" s="48" t="s">
        <v>61</v>
      </c>
      <c r="F66" s="48" t="s">
        <v>24</v>
      </c>
      <c r="G66" s="48" t="s">
        <v>30</v>
      </c>
      <c r="H66" s="48" t="s">
        <v>0</v>
      </c>
      <c r="J66" s="2">
        <v>4</v>
      </c>
      <c r="K66" s="2">
        <f>C119</f>
        <v>0</v>
      </c>
      <c r="L66" s="2">
        <f>D119</f>
        <v>0</v>
      </c>
      <c r="M66" s="2">
        <f>E119</f>
        <v>0</v>
      </c>
      <c r="N66" s="2">
        <f>F119</f>
        <v>0</v>
      </c>
      <c r="O66" s="2">
        <f>G119</f>
        <v>10</v>
      </c>
      <c r="Q66" s="2" t="s">
        <v>90</v>
      </c>
      <c r="R66" s="54">
        <f>AVERAGE(R61)</f>
        <v>0.25</v>
      </c>
      <c r="S66" s="24">
        <f>AVERAGE(S61:S62)</f>
        <v>0.375</v>
      </c>
      <c r="T66" s="24">
        <f>AVERAGE(T61:T63)</f>
        <v>0.5</v>
      </c>
      <c r="U66" s="24">
        <f>AVERAGE(U61:U64)</f>
        <v>0.625</v>
      </c>
      <c r="V66" s="24">
        <f>AVERAGE(V61:V65)</f>
        <v>0.7</v>
      </c>
    </row>
    <row r="67" spans="2:22">
      <c r="B67" s="161" t="s">
        <v>39</v>
      </c>
      <c r="C67" s="119">
        <f t="shared" ref="C67:H67" si="7">C56</f>
        <v>54750</v>
      </c>
      <c r="D67" s="119">
        <f t="shared" si="7"/>
        <v>82125</v>
      </c>
      <c r="E67" s="119">
        <f t="shared" si="7"/>
        <v>109500</v>
      </c>
      <c r="F67" s="119">
        <f t="shared" si="7"/>
        <v>136875</v>
      </c>
      <c r="G67" s="119">
        <f t="shared" si="7"/>
        <v>153300</v>
      </c>
      <c r="H67" s="119">
        <f t="shared" si="7"/>
        <v>536550</v>
      </c>
      <c r="J67" s="21"/>
      <c r="K67" s="21"/>
    </row>
    <row r="68" spans="2:22">
      <c r="B68" s="161" t="s">
        <v>40</v>
      </c>
      <c r="C68" s="121">
        <f>(C26/VLOOKUP(C5,J70:O74,2))+C44+VLOOKUP(C5,J77:O81,2)</f>
        <v>35722.82</v>
      </c>
      <c r="D68" s="121">
        <f>(D26/VLOOKUP(C5,J70:O74,3))+D44+VLOOKUP(C5,J77:O81,3)</f>
        <v>45151.56</v>
      </c>
      <c r="E68" s="121">
        <f>(E26/VLOOKUP(C5,J70:O74,4))+E44+VLOOKUP(C5,J77:O81,4)</f>
        <v>50455.273333333331</v>
      </c>
      <c r="F68" s="121">
        <f>(F26/VLOOKUP(C5,J70:O74,5))+F44+VLOOKUP(C5,J77:O81,5)</f>
        <v>57688.55194487179</v>
      </c>
      <c r="G68" s="121">
        <f>(G26/VLOOKUP(C5,J70:O74,6))+G44+VLOOKUP(C5,J77:O81,6)</f>
        <v>61120.55194487179</v>
      </c>
      <c r="H68" s="121">
        <f>SUM(C68:G68)</f>
        <v>250138.75722307689</v>
      </c>
      <c r="Q68" s="75" t="s">
        <v>97</v>
      </c>
    </row>
    <row r="69" spans="2:22" ht="13.5" thickBot="1">
      <c r="B69" s="160" t="s">
        <v>26</v>
      </c>
      <c r="C69" s="120">
        <f t="shared" ref="C69:H69" si="8">C67-C68</f>
        <v>19027.18</v>
      </c>
      <c r="D69" s="120">
        <f t="shared" si="8"/>
        <v>36973.440000000002</v>
      </c>
      <c r="E69" s="120">
        <f t="shared" si="8"/>
        <v>59044.726666666669</v>
      </c>
      <c r="F69" s="120">
        <f t="shared" si="8"/>
        <v>79186.448055128218</v>
      </c>
      <c r="G69" s="120">
        <f t="shared" si="8"/>
        <v>92179.448055128218</v>
      </c>
      <c r="H69" s="120">
        <f t="shared" si="8"/>
        <v>286411.24277692311</v>
      </c>
      <c r="J69" s="76" t="s">
        <v>58</v>
      </c>
      <c r="K69" s="21"/>
      <c r="Q69" s="5" t="s">
        <v>88</v>
      </c>
      <c r="R69" s="5" t="s">
        <v>21</v>
      </c>
      <c r="S69" s="5" t="s">
        <v>22</v>
      </c>
      <c r="T69" s="5" t="s">
        <v>23</v>
      </c>
      <c r="U69" s="5" t="s">
        <v>24</v>
      </c>
      <c r="V69" s="5" t="s">
        <v>30</v>
      </c>
    </row>
    <row r="70" spans="2:22" ht="13.5" thickTop="1">
      <c r="B70" s="115" t="s">
        <v>102</v>
      </c>
      <c r="C70" s="116">
        <f t="shared" ref="C70:H70" si="9">C69/C68</f>
        <v>0.53263376183627165</v>
      </c>
      <c r="D70" s="116">
        <f t="shared" si="9"/>
        <v>0.81887403225935063</v>
      </c>
      <c r="E70" s="116">
        <f t="shared" si="9"/>
        <v>1.1702389614775648</v>
      </c>
      <c r="F70" s="116">
        <f t="shared" si="9"/>
        <v>1.3726544589089391</v>
      </c>
      <c r="G70" s="116">
        <f t="shared" si="9"/>
        <v>1.5081579783224188</v>
      </c>
      <c r="H70" s="116">
        <f t="shared" si="9"/>
        <v>1.145009457776661</v>
      </c>
      <c r="J70" s="5" t="s">
        <v>116</v>
      </c>
      <c r="K70" s="5" t="s">
        <v>21</v>
      </c>
      <c r="L70" s="5" t="s">
        <v>22</v>
      </c>
      <c r="M70" s="5" t="s">
        <v>23</v>
      </c>
      <c r="N70" s="5" t="s">
        <v>24</v>
      </c>
      <c r="O70" s="5" t="s">
        <v>30</v>
      </c>
      <c r="Q70" s="2">
        <v>1</v>
      </c>
      <c r="R70" s="24">
        <f>K16</f>
        <v>0.2</v>
      </c>
      <c r="S70" s="24">
        <f>L16</f>
        <v>0.4</v>
      </c>
      <c r="T70" s="24">
        <f>M16</f>
        <v>0.6</v>
      </c>
      <c r="U70" s="24">
        <f>N16</f>
        <v>0.8</v>
      </c>
      <c r="V70" s="24">
        <f>O16</f>
        <v>1</v>
      </c>
    </row>
    <row r="71" spans="2:22">
      <c r="B71" s="90"/>
      <c r="C71" s="92"/>
      <c r="D71" s="92"/>
      <c r="E71" s="92"/>
      <c r="F71" s="92"/>
      <c r="G71" s="92"/>
      <c r="H71" s="92"/>
      <c r="J71" s="2">
        <v>1</v>
      </c>
      <c r="K71" s="46">
        <f>C94</f>
        <v>10</v>
      </c>
      <c r="L71" s="46">
        <f>D94</f>
        <v>10</v>
      </c>
      <c r="M71" s="46">
        <f>E94</f>
        <v>10</v>
      </c>
      <c r="N71" s="46">
        <f>F94</f>
        <v>10</v>
      </c>
      <c r="O71" s="46">
        <f>G94</f>
        <v>10</v>
      </c>
      <c r="Q71" s="2">
        <v>2</v>
      </c>
      <c r="R71" s="24"/>
      <c r="S71" s="24">
        <f>R70</f>
        <v>0.2</v>
      </c>
      <c r="T71" s="24">
        <f>S70</f>
        <v>0.4</v>
      </c>
      <c r="U71" s="24">
        <f>T70</f>
        <v>0.6</v>
      </c>
      <c r="V71" s="24">
        <f>U70</f>
        <v>0.8</v>
      </c>
    </row>
    <row r="72" spans="2:22">
      <c r="B72" s="89"/>
      <c r="C72" s="93"/>
      <c r="D72" s="93"/>
      <c r="E72" s="93"/>
      <c r="F72" s="93"/>
      <c r="G72" s="93"/>
      <c r="H72" s="93"/>
      <c r="J72" s="2">
        <v>2</v>
      </c>
      <c r="K72" s="46">
        <f>C102</f>
        <v>10</v>
      </c>
      <c r="L72" s="46">
        <f>D102</f>
        <v>20</v>
      </c>
      <c r="M72" s="46">
        <f>E102</f>
        <v>20</v>
      </c>
      <c r="N72" s="46">
        <f>F102</f>
        <v>20</v>
      </c>
      <c r="O72" s="46">
        <f>G102</f>
        <v>20</v>
      </c>
      <c r="Q72" s="2">
        <v>3</v>
      </c>
      <c r="R72" s="24"/>
      <c r="S72" s="24"/>
      <c r="T72" s="24">
        <f>S71</f>
        <v>0.2</v>
      </c>
      <c r="U72" s="24">
        <f>T71</f>
        <v>0.4</v>
      </c>
      <c r="V72" s="24">
        <f>U71</f>
        <v>0.6</v>
      </c>
    </row>
    <row r="73" spans="2:22">
      <c r="B73" s="73" t="s">
        <v>108</v>
      </c>
      <c r="C73" s="48" t="s">
        <v>21</v>
      </c>
      <c r="D73" s="48" t="s">
        <v>22</v>
      </c>
      <c r="E73" s="48" t="s">
        <v>61</v>
      </c>
      <c r="F73" s="48" t="s">
        <v>24</v>
      </c>
      <c r="G73" s="48" t="s">
        <v>30</v>
      </c>
      <c r="H73" s="48" t="s">
        <v>0</v>
      </c>
      <c r="J73" s="2">
        <v>3</v>
      </c>
      <c r="K73" s="46">
        <f>C110</f>
        <v>10</v>
      </c>
      <c r="L73" s="46">
        <f>D110</f>
        <v>20</v>
      </c>
      <c r="M73" s="46">
        <f>E110</f>
        <v>30</v>
      </c>
      <c r="N73" s="46">
        <f>F110</f>
        <v>30</v>
      </c>
      <c r="O73" s="46">
        <f>G110</f>
        <v>30</v>
      </c>
      <c r="Q73" s="2">
        <v>4</v>
      </c>
      <c r="R73" s="24"/>
      <c r="S73" s="24"/>
      <c r="T73" s="24"/>
      <c r="U73" s="24">
        <f>T72</f>
        <v>0.2</v>
      </c>
      <c r="V73" s="24">
        <f>U72</f>
        <v>0.4</v>
      </c>
    </row>
    <row r="74" spans="2:22">
      <c r="B74" s="159" t="s">
        <v>103</v>
      </c>
      <c r="C74" s="122">
        <f t="shared" ref="C74:G76" si="10">C60-C67</f>
        <v>142350</v>
      </c>
      <c r="D74" s="122">
        <f t="shared" si="10"/>
        <v>125925</v>
      </c>
      <c r="E74" s="122">
        <f t="shared" si="10"/>
        <v>102200</v>
      </c>
      <c r="F74" s="122">
        <f t="shared" si="10"/>
        <v>76650</v>
      </c>
      <c r="G74" s="122">
        <f t="shared" si="10"/>
        <v>61320.000000000029</v>
      </c>
      <c r="H74" s="123">
        <f>SUM(C74:G74)</f>
        <v>508445</v>
      </c>
      <c r="J74" s="2">
        <v>4</v>
      </c>
      <c r="K74" s="46">
        <f>C118</f>
        <v>10</v>
      </c>
      <c r="L74" s="46">
        <f>D118</f>
        <v>20</v>
      </c>
      <c r="M74" s="46">
        <f>E118</f>
        <v>30</v>
      </c>
      <c r="N74" s="46">
        <f>F118</f>
        <v>40</v>
      </c>
      <c r="O74" s="46">
        <f>G118</f>
        <v>40</v>
      </c>
      <c r="Q74" s="2">
        <v>5</v>
      </c>
      <c r="R74" s="24"/>
      <c r="S74" s="24"/>
      <c r="T74" s="24"/>
      <c r="U74" s="24"/>
      <c r="V74" s="24">
        <f>U73</f>
        <v>0.2</v>
      </c>
    </row>
    <row r="75" spans="2:22" ht="13.5" thickBot="1">
      <c r="B75" s="160" t="s">
        <v>105</v>
      </c>
      <c r="C75" s="124">
        <f t="shared" si="10"/>
        <v>59340.291988461548</v>
      </c>
      <c r="D75" s="124">
        <f t="shared" si="10"/>
        <v>49911.55198846155</v>
      </c>
      <c r="E75" s="124">
        <f t="shared" si="10"/>
        <v>44607.838655128216</v>
      </c>
      <c r="F75" s="124">
        <f t="shared" si="10"/>
        <v>37374.560043589758</v>
      </c>
      <c r="G75" s="124">
        <f t="shared" si="10"/>
        <v>33942.560043589758</v>
      </c>
      <c r="H75" s="124">
        <f>SUM(C75:G75)</f>
        <v>225176.80271923082</v>
      </c>
      <c r="Q75" s="2" t="s">
        <v>90</v>
      </c>
      <c r="R75" s="54">
        <f>AVERAGE(R70)</f>
        <v>0.2</v>
      </c>
      <c r="S75" s="24">
        <f>AVERAGE(S70:S71)</f>
        <v>0.30000000000000004</v>
      </c>
      <c r="T75" s="24">
        <f>AVERAGE(T70:T72)</f>
        <v>0.39999999999999997</v>
      </c>
      <c r="U75" s="24">
        <f>AVERAGE(U70:U73)</f>
        <v>0.49999999999999994</v>
      </c>
      <c r="V75" s="24">
        <f>AVERAGE(V70:V74)</f>
        <v>0.6</v>
      </c>
    </row>
    <row r="76" spans="2:22" ht="13.5" thickTop="1">
      <c r="B76" s="113" t="s">
        <v>104</v>
      </c>
      <c r="C76" s="117">
        <f t="shared" si="10"/>
        <v>83009.70801153846</v>
      </c>
      <c r="D76" s="117">
        <f t="shared" si="10"/>
        <v>76013.44801153845</v>
      </c>
      <c r="E76" s="117">
        <f t="shared" si="10"/>
        <v>57592.161344871784</v>
      </c>
      <c r="F76" s="117">
        <f t="shared" si="10"/>
        <v>39275.439956410235</v>
      </c>
      <c r="G76" s="117">
        <f t="shared" si="10"/>
        <v>27377.439956410264</v>
      </c>
      <c r="H76" s="117">
        <f>SUM(C76:G76)</f>
        <v>283268.19728076924</v>
      </c>
      <c r="J76" s="1" t="s">
        <v>57</v>
      </c>
    </row>
    <row r="77" spans="2:22">
      <c r="J77" s="5" t="s">
        <v>116</v>
      </c>
      <c r="K77" s="5" t="s">
        <v>21</v>
      </c>
      <c r="L77" s="5" t="s">
        <v>22</v>
      </c>
      <c r="M77" s="5" t="s">
        <v>23</v>
      </c>
      <c r="N77" s="5" t="s">
        <v>24</v>
      </c>
      <c r="O77" s="5" t="s">
        <v>30</v>
      </c>
    </row>
    <row r="78" spans="2:22">
      <c r="J78" s="2">
        <v>1</v>
      </c>
      <c r="K78" s="3">
        <f>C139</f>
        <v>0</v>
      </c>
      <c r="L78" s="3">
        <f>$C$15*$D$13</f>
        <v>1513.2786115384617</v>
      </c>
      <c r="M78" s="3">
        <f t="shared" ref="M78:O81" si="11">$C$15*$D$13</f>
        <v>1513.2786115384617</v>
      </c>
      <c r="N78" s="3">
        <f t="shared" si="11"/>
        <v>1513.2786115384617</v>
      </c>
      <c r="O78" s="3">
        <f t="shared" si="11"/>
        <v>1513.2786115384617</v>
      </c>
      <c r="Q78" s="75" t="s">
        <v>98</v>
      </c>
    </row>
    <row r="79" spans="2:22">
      <c r="B79" s="49" t="s">
        <v>100</v>
      </c>
      <c r="C79" s="48" t="s">
        <v>21</v>
      </c>
      <c r="D79" s="48" t="s">
        <v>22</v>
      </c>
      <c r="E79" s="48" t="s">
        <v>61</v>
      </c>
      <c r="F79" s="48" t="s">
        <v>24</v>
      </c>
      <c r="G79" s="48" t="s">
        <v>30</v>
      </c>
      <c r="H79" s="48" t="s">
        <v>0</v>
      </c>
      <c r="J79" s="2">
        <v>2</v>
      </c>
      <c r="K79" s="3">
        <f>K78</f>
        <v>0</v>
      </c>
      <c r="L79" s="3">
        <v>0</v>
      </c>
      <c r="M79" s="3">
        <f t="shared" si="11"/>
        <v>1513.2786115384617</v>
      </c>
      <c r="N79" s="3">
        <f t="shared" si="11"/>
        <v>1513.2786115384617</v>
      </c>
      <c r="O79" s="3">
        <f t="shared" si="11"/>
        <v>1513.2786115384617</v>
      </c>
      <c r="Q79" s="5" t="s">
        <v>59</v>
      </c>
      <c r="R79" s="5" t="s">
        <v>21</v>
      </c>
      <c r="S79" s="5" t="s">
        <v>22</v>
      </c>
      <c r="T79" s="5" t="s">
        <v>23</v>
      </c>
      <c r="U79" s="5" t="s">
        <v>24</v>
      </c>
      <c r="V79" s="5" t="s">
        <v>30</v>
      </c>
    </row>
    <row r="80" spans="2:22">
      <c r="B80" s="161" t="s">
        <v>62</v>
      </c>
      <c r="C80" s="33">
        <f>(C13*C14*K33)-(C13*C15*VLOOKUP(C5,J62:O66,2))</f>
        <v>80121.1198846154</v>
      </c>
      <c r="D80" s="33">
        <f>C13*C14*L33-(C13*C15*VLOOKUP(C5,J62:O66,3))</f>
        <v>160242.2397692308</v>
      </c>
      <c r="E80" s="33">
        <f>C13*C14*M33-(C13*C15*VLOOKUP(C5,J62:O66,4))</f>
        <v>240363.35965384619</v>
      </c>
      <c r="F80" s="33">
        <f>C13*C14*N33-(C13*C15*VLOOKUP(C5,J62:O66,5))</f>
        <v>293777.43957692315</v>
      </c>
      <c r="G80" s="33">
        <f>C13*C14*O33-(C13*C15*VLOOKUP(C5,J62:O66,6))</f>
        <v>347191.51950000005</v>
      </c>
      <c r="H80" s="33">
        <f>SUM(C80:G80)</f>
        <v>1121695.6783846156</v>
      </c>
      <c r="J80" s="2">
        <v>3</v>
      </c>
      <c r="K80" s="3">
        <f>K79</f>
        <v>0</v>
      </c>
      <c r="L80" s="3">
        <v>0</v>
      </c>
      <c r="M80" s="3">
        <v>0</v>
      </c>
      <c r="N80" s="3">
        <f t="shared" si="11"/>
        <v>1513.2786115384617</v>
      </c>
      <c r="O80" s="3">
        <f t="shared" si="11"/>
        <v>1513.2786115384617</v>
      </c>
      <c r="Q80" s="2">
        <v>1</v>
      </c>
      <c r="R80" s="36">
        <f>R11</f>
        <v>0.5</v>
      </c>
      <c r="S80" s="36">
        <f>S11</f>
        <v>0.75</v>
      </c>
      <c r="T80" s="36">
        <f>T11</f>
        <v>0.83333333333333337</v>
      </c>
      <c r="U80" s="36">
        <f>U11</f>
        <v>0.875</v>
      </c>
      <c r="V80" s="36">
        <f>V11</f>
        <v>0.9</v>
      </c>
    </row>
    <row r="81" spans="2:22">
      <c r="B81" s="161" t="s">
        <v>63</v>
      </c>
      <c r="C81" s="33">
        <f>C16*C17*K33</f>
        <v>0</v>
      </c>
      <c r="D81" s="33">
        <f>C16*C17*L33</f>
        <v>0</v>
      </c>
      <c r="E81" s="33">
        <f>C16*C17*M33</f>
        <v>0</v>
      </c>
      <c r="F81" s="33">
        <f>C16*C17*N33</f>
        <v>0</v>
      </c>
      <c r="G81" s="33">
        <f>C16*C17*O33</f>
        <v>0</v>
      </c>
      <c r="H81" s="33">
        <f>SUM(C81:G81)</f>
        <v>0</v>
      </c>
      <c r="J81" s="2">
        <v>4</v>
      </c>
      <c r="K81" s="3">
        <f>K80</f>
        <v>0</v>
      </c>
      <c r="L81" s="3">
        <f>L80</f>
        <v>0</v>
      </c>
      <c r="M81" s="3">
        <f>M80</f>
        <v>0</v>
      </c>
      <c r="N81" s="3">
        <v>0</v>
      </c>
      <c r="O81" s="3">
        <f t="shared" si="11"/>
        <v>1513.2786115384617</v>
      </c>
      <c r="Q81" s="2">
        <v>2</v>
      </c>
      <c r="R81" s="36">
        <f>R20</f>
        <v>0.5</v>
      </c>
      <c r="S81" s="36">
        <f>S20</f>
        <v>0.625</v>
      </c>
      <c r="T81" s="36">
        <f>T20</f>
        <v>0.75</v>
      </c>
      <c r="U81" s="36">
        <f>U20</f>
        <v>0.8125</v>
      </c>
      <c r="V81" s="36">
        <f>V20</f>
        <v>0.85</v>
      </c>
    </row>
    <row r="82" spans="2:22">
      <c r="B82" s="161" t="s">
        <v>73</v>
      </c>
      <c r="C82" s="33">
        <f>C25*-1</f>
        <v>140000</v>
      </c>
      <c r="D82" s="33">
        <f>D25*-1</f>
        <v>0</v>
      </c>
      <c r="E82" s="33">
        <f>E25*-1</f>
        <v>0</v>
      </c>
      <c r="F82" s="33">
        <f>F25*-1</f>
        <v>0</v>
      </c>
      <c r="G82" s="33">
        <f>G25*-1</f>
        <v>0</v>
      </c>
      <c r="H82" s="33">
        <f>SUM(C82:G82)</f>
        <v>140000</v>
      </c>
      <c r="Q82" s="2">
        <v>3</v>
      </c>
      <c r="R82" s="36">
        <f>R29</f>
        <v>0.5</v>
      </c>
      <c r="S82" s="36">
        <f>S29</f>
        <v>0.58499999999999996</v>
      </c>
      <c r="T82" s="36">
        <f>T29</f>
        <v>0.66666666666666663</v>
      </c>
      <c r="U82" s="36">
        <f>U29</f>
        <v>0.75</v>
      </c>
      <c r="V82" s="36">
        <f>V29</f>
        <v>0.8</v>
      </c>
    </row>
    <row r="83" spans="2:22" ht="13.5" thickBot="1">
      <c r="B83" s="160" t="s">
        <v>74</v>
      </c>
      <c r="C83" s="125">
        <f>C43*-1</f>
        <v>2000</v>
      </c>
      <c r="D83" s="125">
        <f>D43*-1</f>
        <v>2000</v>
      </c>
      <c r="E83" s="125">
        <f>E43*-1</f>
        <v>2000</v>
      </c>
      <c r="F83" s="125">
        <f>F43*-1</f>
        <v>2000</v>
      </c>
      <c r="G83" s="125">
        <f>G43*-1</f>
        <v>2000</v>
      </c>
      <c r="H83" s="125">
        <f>SUM(C83:G83)</f>
        <v>10000</v>
      </c>
      <c r="Q83" s="2">
        <v>4</v>
      </c>
      <c r="R83" s="36">
        <f>R38</f>
        <v>0.5</v>
      </c>
      <c r="S83" s="36">
        <f>S38</f>
        <v>0.56499999999999995</v>
      </c>
      <c r="T83" s="36">
        <f>T38</f>
        <v>0.62666666666666659</v>
      </c>
      <c r="U83" s="36">
        <f>U38</f>
        <v>0.69</v>
      </c>
      <c r="V83" s="36">
        <f>V38</f>
        <v>0.752</v>
      </c>
    </row>
    <row r="84" spans="2:22" ht="13.5" thickTop="1">
      <c r="B84" s="115" t="s">
        <v>0</v>
      </c>
      <c r="C84" s="118">
        <f t="shared" ref="C84:H84" si="12">SUM(C80:C83)</f>
        <v>222121.11988461541</v>
      </c>
      <c r="D84" s="118">
        <f t="shared" si="12"/>
        <v>162242.2397692308</v>
      </c>
      <c r="E84" s="118">
        <f t="shared" si="12"/>
        <v>242363.35965384619</v>
      </c>
      <c r="F84" s="118">
        <f t="shared" si="12"/>
        <v>295777.43957692315</v>
      </c>
      <c r="G84" s="118">
        <f t="shared" si="12"/>
        <v>349191.51950000005</v>
      </c>
      <c r="H84" s="118">
        <f t="shared" si="12"/>
        <v>1271695.6783846156</v>
      </c>
    </row>
    <row r="85" spans="2:22">
      <c r="B85" s="142" t="s">
        <v>178</v>
      </c>
      <c r="J85" s="20"/>
    </row>
    <row r="86" spans="2:22">
      <c r="J86" s="20"/>
      <c r="Q86" s="75" t="s">
        <v>99</v>
      </c>
    </row>
    <row r="87" spans="2:22">
      <c r="B87" s="38" t="s">
        <v>87</v>
      </c>
      <c r="J87" s="20"/>
      <c r="Q87" s="5" t="s">
        <v>59</v>
      </c>
      <c r="R87" s="5" t="s">
        <v>21</v>
      </c>
      <c r="S87" s="5" t="s">
        <v>22</v>
      </c>
      <c r="T87" s="5" t="s">
        <v>23</v>
      </c>
      <c r="U87" s="5" t="s">
        <v>24</v>
      </c>
      <c r="V87" s="5" t="s">
        <v>30</v>
      </c>
    </row>
    <row r="88" spans="2:22">
      <c r="B88" s="50"/>
      <c r="C88" s="5" t="s">
        <v>21</v>
      </c>
      <c r="D88" s="5" t="s">
        <v>22</v>
      </c>
      <c r="E88" s="5" t="s">
        <v>23</v>
      </c>
      <c r="F88" s="5" t="s">
        <v>24</v>
      </c>
      <c r="G88" s="5" t="s">
        <v>30</v>
      </c>
      <c r="J88" s="21"/>
      <c r="Q88" s="2">
        <v>1</v>
      </c>
      <c r="R88" s="36">
        <f>R48</f>
        <v>0.5</v>
      </c>
      <c r="S88" s="36">
        <f>S48</f>
        <v>0.75</v>
      </c>
      <c r="T88" s="36">
        <f>T48</f>
        <v>0.83333333333333337</v>
      </c>
      <c r="U88" s="36">
        <f>U48</f>
        <v>0.875</v>
      </c>
      <c r="V88" s="36">
        <f>V48</f>
        <v>0.9</v>
      </c>
    </row>
    <row r="89" spans="2:22">
      <c r="B89" s="42" t="s">
        <v>42</v>
      </c>
      <c r="C89" s="26">
        <v>0.5</v>
      </c>
      <c r="D89" s="26">
        <v>1</v>
      </c>
      <c r="E89" s="26">
        <v>1</v>
      </c>
      <c r="F89" s="26">
        <v>1</v>
      </c>
      <c r="G89" s="26">
        <v>1</v>
      </c>
      <c r="J89" s="20"/>
      <c r="Q89" s="2">
        <v>2</v>
      </c>
      <c r="R89" s="36">
        <f>R57</f>
        <v>0.33</v>
      </c>
      <c r="S89" s="36">
        <f>S57</f>
        <v>0.495</v>
      </c>
      <c r="T89" s="36">
        <f>T57</f>
        <v>0.66333333333333344</v>
      </c>
      <c r="U89" s="36">
        <f>U57</f>
        <v>0.74750000000000005</v>
      </c>
      <c r="V89" s="36">
        <f>V57</f>
        <v>0.79800000000000004</v>
      </c>
    </row>
    <row r="90" spans="2:22">
      <c r="B90" s="27"/>
      <c r="C90" s="27"/>
      <c r="D90" s="26">
        <v>0.5</v>
      </c>
      <c r="E90" s="26">
        <v>1</v>
      </c>
      <c r="F90" s="26">
        <v>1</v>
      </c>
      <c r="G90" s="26">
        <v>1</v>
      </c>
      <c r="J90" s="20"/>
      <c r="Q90" s="2">
        <v>3</v>
      </c>
      <c r="R90" s="36">
        <f>R66</f>
        <v>0.25</v>
      </c>
      <c r="S90" s="36">
        <f>S66</f>
        <v>0.375</v>
      </c>
      <c r="T90" s="36">
        <f>T66</f>
        <v>0.5</v>
      </c>
      <c r="U90" s="36">
        <f>U66</f>
        <v>0.625</v>
      </c>
      <c r="V90" s="36">
        <f>V66</f>
        <v>0.7</v>
      </c>
    </row>
    <row r="91" spans="2:22">
      <c r="B91" s="27"/>
      <c r="C91" s="27"/>
      <c r="D91" s="27"/>
      <c r="E91" s="26">
        <v>0.5</v>
      </c>
      <c r="F91" s="26">
        <v>1</v>
      </c>
      <c r="G91" s="26">
        <v>1</v>
      </c>
      <c r="J91" s="20"/>
      <c r="K91" s="17"/>
      <c r="Q91" s="2">
        <v>4</v>
      </c>
      <c r="R91" s="36">
        <f>R75</f>
        <v>0.2</v>
      </c>
      <c r="S91" s="36">
        <f>S75</f>
        <v>0.30000000000000004</v>
      </c>
      <c r="T91" s="36">
        <f>T75</f>
        <v>0.39999999999999997</v>
      </c>
      <c r="U91" s="36">
        <f>U75</f>
        <v>0.49999999999999994</v>
      </c>
      <c r="V91" s="36">
        <f>V75</f>
        <v>0.6</v>
      </c>
    </row>
    <row r="92" spans="2:22">
      <c r="B92" s="27"/>
      <c r="C92" s="27"/>
      <c r="D92" s="27"/>
      <c r="E92" s="27"/>
      <c r="F92" s="26">
        <v>0.5</v>
      </c>
      <c r="G92" s="26">
        <v>1</v>
      </c>
      <c r="J92" s="20"/>
    </row>
    <row r="93" spans="2:22">
      <c r="B93" s="27"/>
      <c r="C93" s="27"/>
      <c r="D93" s="27"/>
      <c r="E93" s="27"/>
      <c r="F93" s="27"/>
      <c r="G93" s="26">
        <v>0.5</v>
      </c>
      <c r="J93" s="20"/>
    </row>
    <row r="94" spans="2:22">
      <c r="B94" s="25" t="s">
        <v>49</v>
      </c>
      <c r="C94" s="27">
        <f>$C$6</f>
        <v>10</v>
      </c>
      <c r="D94" s="27">
        <f>$C$6</f>
        <v>10</v>
      </c>
      <c r="E94" s="27">
        <f>$C$6</f>
        <v>10</v>
      </c>
      <c r="F94" s="27">
        <f>$C$6</f>
        <v>10</v>
      </c>
      <c r="G94" s="27">
        <f>$C$6</f>
        <v>10</v>
      </c>
      <c r="J94" s="20"/>
      <c r="Q94" s="75"/>
    </row>
    <row r="95" spans="2:22">
      <c r="B95" s="25" t="s">
        <v>54</v>
      </c>
      <c r="C95" s="27">
        <v>0</v>
      </c>
      <c r="D95" s="27">
        <f>C94</f>
        <v>10</v>
      </c>
      <c r="E95" s="27">
        <f>C94*2</f>
        <v>20</v>
      </c>
      <c r="F95" s="27">
        <f>C94*3</f>
        <v>30</v>
      </c>
      <c r="G95" s="27">
        <f>C94*4</f>
        <v>40</v>
      </c>
      <c r="J95" s="20"/>
      <c r="Q95" s="66"/>
      <c r="R95" s="66"/>
      <c r="S95" s="66"/>
      <c r="T95" s="66"/>
      <c r="U95" s="66"/>
      <c r="V95" s="66"/>
    </row>
    <row r="96" spans="2:22">
      <c r="E96" s="21"/>
      <c r="F96" s="21"/>
      <c r="G96" s="21"/>
      <c r="J96" s="21"/>
      <c r="R96" s="80"/>
      <c r="S96" s="80"/>
      <c r="T96" s="80"/>
      <c r="U96" s="80"/>
      <c r="V96" s="80"/>
    </row>
    <row r="97" spans="2:22">
      <c r="B97" s="42" t="s">
        <v>43</v>
      </c>
      <c r="C97" s="26">
        <v>0.5</v>
      </c>
      <c r="D97" s="26">
        <v>0.75</v>
      </c>
      <c r="E97" s="26">
        <v>1</v>
      </c>
      <c r="F97" s="26">
        <v>1</v>
      </c>
      <c r="G97" s="26">
        <v>1</v>
      </c>
      <c r="R97" s="80"/>
      <c r="S97" s="80"/>
      <c r="T97" s="80"/>
      <c r="U97" s="80"/>
      <c r="V97" s="80"/>
    </row>
    <row r="98" spans="2:22">
      <c r="B98" s="27"/>
      <c r="C98" s="27"/>
      <c r="D98" s="26">
        <v>0.5</v>
      </c>
      <c r="E98" s="26">
        <v>0.75</v>
      </c>
      <c r="F98" s="26">
        <v>1</v>
      </c>
      <c r="G98" s="26">
        <v>1</v>
      </c>
      <c r="R98" s="80"/>
      <c r="S98" s="80"/>
      <c r="T98" s="80"/>
      <c r="U98" s="80"/>
      <c r="V98" s="80"/>
    </row>
    <row r="99" spans="2:22">
      <c r="B99" s="27"/>
      <c r="C99" s="27"/>
      <c r="D99" s="27"/>
      <c r="E99" s="26">
        <v>0.5</v>
      </c>
      <c r="F99" s="26">
        <v>0.75</v>
      </c>
      <c r="G99" s="26">
        <v>1</v>
      </c>
      <c r="R99" s="80"/>
      <c r="S99" s="80"/>
      <c r="T99" s="80"/>
      <c r="U99" s="80"/>
      <c r="V99" s="80"/>
    </row>
    <row r="100" spans="2:22">
      <c r="B100" s="27"/>
      <c r="C100" s="27"/>
      <c r="D100" s="27"/>
      <c r="E100" s="27"/>
      <c r="F100" s="26">
        <v>0.5</v>
      </c>
      <c r="G100" s="26">
        <v>0.75</v>
      </c>
    </row>
    <row r="101" spans="2:22">
      <c r="B101" s="27"/>
      <c r="C101" s="27"/>
      <c r="D101" s="27"/>
      <c r="E101" s="27"/>
      <c r="F101" s="27"/>
      <c r="G101" s="26">
        <v>0.5</v>
      </c>
      <c r="H101" s="21"/>
    </row>
    <row r="102" spans="2:22">
      <c r="B102" s="25" t="s">
        <v>49</v>
      </c>
      <c r="C102" s="27">
        <f>$C$6</f>
        <v>10</v>
      </c>
      <c r="D102" s="27">
        <f>$C$6*2</f>
        <v>20</v>
      </c>
      <c r="E102" s="27">
        <f>$C$6*2</f>
        <v>20</v>
      </c>
      <c r="F102" s="27">
        <f>$C$6*2</f>
        <v>20</v>
      </c>
      <c r="G102" s="27">
        <f>$C$6*2</f>
        <v>20</v>
      </c>
    </row>
    <row r="103" spans="2:22">
      <c r="B103" s="25" t="s">
        <v>54</v>
      </c>
      <c r="C103" s="27">
        <v>0</v>
      </c>
      <c r="D103" s="27">
        <v>0</v>
      </c>
      <c r="E103" s="27">
        <f>C102*1</f>
        <v>10</v>
      </c>
      <c r="F103" s="27">
        <f>C102*2</f>
        <v>20</v>
      </c>
      <c r="G103" s="27">
        <f>C102*3</f>
        <v>30</v>
      </c>
    </row>
    <row r="105" spans="2:22">
      <c r="B105" s="42" t="s">
        <v>44</v>
      </c>
      <c r="C105" s="26">
        <v>0.5</v>
      </c>
      <c r="D105" s="26">
        <v>0.67</v>
      </c>
      <c r="E105" s="26">
        <v>0.83</v>
      </c>
      <c r="F105" s="26">
        <v>1</v>
      </c>
      <c r="G105" s="26">
        <v>1</v>
      </c>
    </row>
    <row r="106" spans="2:22">
      <c r="B106" s="27"/>
      <c r="C106" s="27"/>
      <c r="D106" s="26">
        <v>0.5</v>
      </c>
      <c r="E106" s="26">
        <v>0.67</v>
      </c>
      <c r="F106" s="26">
        <v>0.83</v>
      </c>
      <c r="G106" s="26">
        <v>1</v>
      </c>
    </row>
    <row r="107" spans="2:22">
      <c r="B107" s="27"/>
      <c r="C107" s="27"/>
      <c r="D107" s="27"/>
      <c r="E107" s="26">
        <v>0.5</v>
      </c>
      <c r="F107" s="26">
        <v>0.67</v>
      </c>
      <c r="G107" s="26">
        <v>0.83</v>
      </c>
    </row>
    <row r="108" spans="2:22">
      <c r="B108" s="27"/>
      <c r="C108" s="27"/>
      <c r="D108" s="27"/>
      <c r="E108" s="27"/>
      <c r="F108" s="26">
        <v>0.5</v>
      </c>
      <c r="G108" s="26">
        <v>0.67</v>
      </c>
    </row>
    <row r="109" spans="2:22">
      <c r="B109" s="27"/>
      <c r="C109" s="27"/>
      <c r="D109" s="27"/>
      <c r="E109" s="27"/>
      <c r="F109" s="27"/>
      <c r="G109" s="26">
        <v>0.5</v>
      </c>
      <c r="H109" s="21"/>
    </row>
    <row r="110" spans="2:22">
      <c r="B110" s="25" t="s">
        <v>49</v>
      </c>
      <c r="C110" s="27">
        <f>$C$6</f>
        <v>10</v>
      </c>
      <c r="D110" s="27">
        <f>$C$6*2</f>
        <v>20</v>
      </c>
      <c r="E110" s="27">
        <f>$C$6*3</f>
        <v>30</v>
      </c>
      <c r="F110" s="27">
        <f>$C$6*3</f>
        <v>30</v>
      </c>
      <c r="G110" s="27">
        <f>$C$6*3</f>
        <v>30</v>
      </c>
    </row>
    <row r="111" spans="2:22">
      <c r="B111" s="25" t="s">
        <v>54</v>
      </c>
      <c r="C111" s="27">
        <v>0</v>
      </c>
      <c r="D111" s="27">
        <v>0</v>
      </c>
      <c r="E111" s="27">
        <v>0</v>
      </c>
      <c r="F111" s="27">
        <f>+C110</f>
        <v>10</v>
      </c>
      <c r="G111" s="27">
        <f>+C110*2</f>
        <v>20</v>
      </c>
    </row>
    <row r="113" spans="2:8">
      <c r="B113" s="42" t="s">
        <v>45</v>
      </c>
      <c r="C113" s="26">
        <v>0.5</v>
      </c>
      <c r="D113" s="26">
        <v>0.625</v>
      </c>
      <c r="E113" s="26">
        <v>0.75</v>
      </c>
      <c r="F113" s="26">
        <v>0.875</v>
      </c>
      <c r="G113" s="26">
        <v>1</v>
      </c>
    </row>
    <row r="114" spans="2:8">
      <c r="B114" s="27"/>
      <c r="C114" s="27"/>
      <c r="D114" s="26">
        <v>0.5</v>
      </c>
      <c r="E114" s="26">
        <v>0.625</v>
      </c>
      <c r="F114" s="26">
        <v>0.75</v>
      </c>
      <c r="G114" s="26">
        <v>0.875</v>
      </c>
    </row>
    <row r="115" spans="2:8">
      <c r="B115" s="27"/>
      <c r="C115" s="27"/>
      <c r="D115" s="27"/>
      <c r="E115" s="26">
        <v>0.5</v>
      </c>
      <c r="F115" s="26">
        <v>0.625</v>
      </c>
      <c r="G115" s="26">
        <v>0.75</v>
      </c>
    </row>
    <row r="116" spans="2:8">
      <c r="B116" s="27"/>
      <c r="C116" s="27"/>
      <c r="D116" s="27"/>
      <c r="E116" s="27"/>
      <c r="F116" s="26">
        <v>0.5</v>
      </c>
      <c r="G116" s="26">
        <v>0.625</v>
      </c>
    </row>
    <row r="117" spans="2:8">
      <c r="B117" s="27"/>
      <c r="C117" s="27"/>
      <c r="D117" s="27"/>
      <c r="E117" s="27"/>
      <c r="F117" s="27"/>
      <c r="G117" s="26">
        <v>0.5</v>
      </c>
      <c r="H117" s="21"/>
    </row>
    <row r="118" spans="2:8">
      <c r="B118" s="25" t="s">
        <v>49</v>
      </c>
      <c r="C118" s="27">
        <f>$C$6</f>
        <v>10</v>
      </c>
      <c r="D118" s="27">
        <f>$C$6*2</f>
        <v>20</v>
      </c>
      <c r="E118" s="27">
        <f>$C$6*3</f>
        <v>30</v>
      </c>
      <c r="F118" s="27">
        <f>$C$6*4</f>
        <v>40</v>
      </c>
      <c r="G118" s="27">
        <f>$C$6*4</f>
        <v>40</v>
      </c>
    </row>
    <row r="119" spans="2:8">
      <c r="B119" s="25" t="s">
        <v>54</v>
      </c>
      <c r="C119" s="27">
        <v>0</v>
      </c>
      <c r="D119" s="27">
        <v>0</v>
      </c>
      <c r="E119" s="27">
        <v>0</v>
      </c>
      <c r="F119" s="27">
        <v>0</v>
      </c>
      <c r="G119" s="27">
        <f>C118</f>
        <v>10</v>
      </c>
    </row>
    <row r="136" spans="3:4">
      <c r="C136" s="144"/>
      <c r="D136" s="144"/>
    </row>
    <row r="137" spans="3:4">
      <c r="C137" s="144"/>
      <c r="D137" s="144"/>
    </row>
    <row r="138" spans="3:4">
      <c r="C138" s="144"/>
      <c r="D138" s="144"/>
    </row>
    <row r="139" spans="3:4">
      <c r="C139" s="144"/>
      <c r="D139" s="144"/>
    </row>
    <row r="140" spans="3:4">
      <c r="C140" s="144"/>
      <c r="D140" s="144"/>
    </row>
    <row r="141" spans="3:4">
      <c r="C141" s="144"/>
      <c r="D141" s="144"/>
    </row>
    <row r="142" spans="3:4">
      <c r="C142" s="144"/>
      <c r="D142" s="144"/>
    </row>
    <row r="143" spans="3:4">
      <c r="C143" s="144"/>
      <c r="D143" s="144"/>
    </row>
    <row r="144" spans="3:4">
      <c r="C144" s="144"/>
      <c r="D144" s="144"/>
    </row>
    <row r="145" spans="3:4">
      <c r="C145" s="144"/>
      <c r="D145" s="144"/>
    </row>
    <row r="146" spans="3:4">
      <c r="C146" s="144"/>
      <c r="D146" s="144"/>
    </row>
    <row r="147" spans="3:4">
      <c r="C147" s="144"/>
      <c r="D147" s="144"/>
    </row>
    <row r="148" spans="3:4">
      <c r="C148" s="144"/>
      <c r="D148" s="144"/>
    </row>
    <row r="149" spans="3:4">
      <c r="C149" s="144"/>
      <c r="D149" s="144"/>
    </row>
    <row r="150" spans="3:4">
      <c r="C150" s="144"/>
      <c r="D150" s="144"/>
    </row>
    <row r="151" spans="3:4">
      <c r="C151" s="144"/>
      <c r="D151" s="144"/>
    </row>
    <row r="152" spans="3:4">
      <c r="C152" s="144"/>
      <c r="D152" s="144"/>
    </row>
    <row r="153" spans="3:4">
      <c r="C153" s="144"/>
      <c r="D153" s="144"/>
    </row>
  </sheetData>
  <sheetProtection algorithmName="SHA-512" hashValue="NL2K92EZt80/6uYd7IEx4BcWonzjNFyFPKZCpiSSo3tVWIYDTbDQflWztfD51TCtsiEc5Vf3KpbBpYS1IU0Hag==" saltValue="poInUHSOIbza3oH2JYiCGA==" spinCount="100000" sheet="1" formatColumns="0"/>
  <phoneticPr fontId="11" type="noConversion"/>
  <dataValidations disablePrompts="1" count="1">
    <dataValidation type="whole" allowBlank="1" showInputMessage="1" showErrorMessage="1" sqref="C5" xr:uid="{904078BC-A411-4CAF-AC59-4ACFC0B64574}">
      <formula1>1</formula1>
      <formula2>4</formula2>
    </dataValidation>
  </dataValidations>
  <printOptions horizontalCentered="1"/>
  <pageMargins left="0.7" right="0.7" top="0.75" bottom="0.75" header="0.3" footer="0.3"/>
  <pageSetup scale="59" fitToHeight="2"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63408-6A22-484A-BEC2-E7C5F5A7EA3A}">
  <sheetPr codeName="Sheet3">
    <pageSetUpPr autoPageBreaks="0" fitToPage="1"/>
  </sheetPr>
  <dimension ref="A1:J43"/>
  <sheetViews>
    <sheetView showGridLines="0" showRowColHeaders="0" workbookViewId="0">
      <pane ySplit="3" topLeftCell="A4" activePane="bottomLeft" state="frozen"/>
      <selection pane="bottomLeft" activeCell="A4" sqref="A4"/>
    </sheetView>
  </sheetViews>
  <sheetFormatPr defaultRowHeight="12.75"/>
  <cols>
    <col min="1" max="1" width="3" customWidth="1"/>
    <col min="2" max="2" width="3.125" customWidth="1"/>
    <col min="3" max="3" width="63.375" customWidth="1"/>
    <col min="4" max="4" width="12.375" bestFit="1" customWidth="1"/>
    <col min="8" max="8" width="31.5" customWidth="1"/>
    <col min="9" max="9" width="41.75" customWidth="1"/>
  </cols>
  <sheetData>
    <row r="1" spans="1:10" ht="24.75" customHeight="1">
      <c r="B1" s="62"/>
    </row>
    <row r="2" spans="1:10" ht="71.25" customHeight="1">
      <c r="C2" s="62"/>
    </row>
    <row r="4" spans="1:10">
      <c r="A4" s="35" t="s">
        <v>201</v>
      </c>
      <c r="B4" s="59" t="s">
        <v>145</v>
      </c>
      <c r="C4" s="35"/>
      <c r="D4" s="94"/>
    </row>
    <row r="5" spans="1:10">
      <c r="B5" s="66"/>
      <c r="C5" s="63"/>
    </row>
    <row r="6" spans="1:10">
      <c r="B6" s="95">
        <v>1</v>
      </c>
      <c r="C6" s="51" t="s">
        <v>121</v>
      </c>
    </row>
    <row r="7" spans="1:10">
      <c r="B7" s="95"/>
    </row>
    <row r="8" spans="1:10">
      <c r="A8" s="35" t="s">
        <v>202</v>
      </c>
      <c r="B8" s="35" t="s">
        <v>136</v>
      </c>
      <c r="C8" s="35"/>
      <c r="D8" s="64"/>
    </row>
    <row r="9" spans="1:10" s="72" customFormat="1">
      <c r="A9"/>
      <c r="B9" s="103"/>
      <c r="C9" s="103"/>
      <c r="D9" s="103"/>
    </row>
    <row r="10" spans="1:10">
      <c r="B10" s="53">
        <v>1</v>
      </c>
      <c r="C10" t="s">
        <v>135</v>
      </c>
      <c r="D10" s="183">
        <f>'ROI Questionnaire'!D74/2080</f>
        <v>30</v>
      </c>
    </row>
    <row r="11" spans="1:10">
      <c r="B11" s="53"/>
      <c r="D11" s="21"/>
    </row>
    <row r="12" spans="1:10">
      <c r="B12" s="53">
        <v>2</v>
      </c>
      <c r="C12" t="s">
        <v>139</v>
      </c>
      <c r="D12" s="185">
        <f>'ROI Questionnaire'!D78</f>
        <v>0.32</v>
      </c>
      <c r="H12" s="38"/>
      <c r="I12" s="101"/>
      <c r="J12" s="62"/>
    </row>
    <row r="13" spans="1:10">
      <c r="B13" s="53"/>
      <c r="H13" s="38"/>
      <c r="I13" s="62"/>
      <c r="J13" s="62"/>
    </row>
    <row r="14" spans="1:10">
      <c r="B14" s="53">
        <v>3</v>
      </c>
      <c r="C14" t="s">
        <v>138</v>
      </c>
      <c r="D14" s="199">
        <v>54</v>
      </c>
      <c r="H14" s="38"/>
      <c r="I14" s="62"/>
      <c r="J14" s="62"/>
    </row>
    <row r="15" spans="1:10">
      <c r="B15" s="53"/>
      <c r="H15" s="38"/>
      <c r="I15" s="62"/>
      <c r="J15" s="62"/>
    </row>
    <row r="16" spans="1:10">
      <c r="B16" s="53">
        <v>4</v>
      </c>
      <c r="C16" t="s">
        <v>137</v>
      </c>
      <c r="D16" s="200">
        <v>0</v>
      </c>
      <c r="H16" s="253"/>
      <c r="I16" s="102"/>
      <c r="J16" s="254"/>
    </row>
    <row r="17" spans="1:10">
      <c r="B17" s="53"/>
      <c r="H17" s="253"/>
      <c r="I17" s="62"/>
      <c r="J17" s="255"/>
    </row>
    <row r="18" spans="1:10">
      <c r="C18" s="6" t="s">
        <v>0</v>
      </c>
      <c r="D18" s="110">
        <f>(D10*(1+D12)*8*D14)+D16</f>
        <v>17107.2</v>
      </c>
      <c r="H18" s="38"/>
      <c r="I18" s="62"/>
      <c r="J18" s="62"/>
    </row>
    <row r="19" spans="1:10">
      <c r="H19" s="38"/>
      <c r="I19" s="62"/>
      <c r="J19" s="62"/>
    </row>
    <row r="20" spans="1:10">
      <c r="A20" s="35" t="s">
        <v>203</v>
      </c>
      <c r="B20" s="35" t="s">
        <v>25</v>
      </c>
      <c r="C20" s="35"/>
      <c r="D20" s="64"/>
      <c r="H20" s="38"/>
      <c r="I20" s="62"/>
      <c r="J20" s="62"/>
    </row>
    <row r="21" spans="1:10">
      <c r="H21" s="38"/>
      <c r="I21" s="62"/>
      <c r="J21" s="62"/>
    </row>
    <row r="22" spans="1:10">
      <c r="B22" s="53">
        <v>1</v>
      </c>
      <c r="C22" t="s">
        <v>147</v>
      </c>
      <c r="D22" s="200">
        <f>D10*1.5</f>
        <v>45</v>
      </c>
      <c r="H22" s="38"/>
      <c r="I22" s="62"/>
      <c r="J22" s="62"/>
    </row>
    <row r="23" spans="1:10">
      <c r="B23" s="53"/>
      <c r="H23" s="38"/>
      <c r="I23" s="62"/>
      <c r="J23" s="62"/>
    </row>
    <row r="24" spans="1:10">
      <c r="B24" s="53">
        <v>2</v>
      </c>
      <c r="C24" t="s">
        <v>140</v>
      </c>
      <c r="D24" s="199">
        <v>4</v>
      </c>
      <c r="H24" s="38"/>
      <c r="I24" s="62"/>
      <c r="J24" s="62"/>
    </row>
    <row r="25" spans="1:10">
      <c r="B25" s="53"/>
      <c r="H25" s="62"/>
      <c r="I25" s="62"/>
      <c r="J25" s="62"/>
    </row>
    <row r="26" spans="1:10">
      <c r="B26" s="53">
        <v>3</v>
      </c>
      <c r="C26" t="s">
        <v>141</v>
      </c>
      <c r="D26" s="200">
        <v>0</v>
      </c>
      <c r="H26" s="62"/>
      <c r="I26" s="62"/>
      <c r="J26" s="62"/>
    </row>
    <row r="27" spans="1:10">
      <c r="B27" s="53"/>
      <c r="H27" s="62"/>
      <c r="I27" s="62"/>
      <c r="J27" s="62"/>
    </row>
    <row r="28" spans="1:10">
      <c r="B28" s="53">
        <v>4</v>
      </c>
      <c r="C28" t="s">
        <v>142</v>
      </c>
      <c r="D28" s="200">
        <v>0</v>
      </c>
      <c r="H28" s="62"/>
      <c r="I28" s="62"/>
      <c r="J28" s="62"/>
    </row>
    <row r="29" spans="1:10">
      <c r="B29" s="53"/>
      <c r="H29" s="62"/>
      <c r="I29" s="62"/>
      <c r="J29" s="62"/>
    </row>
    <row r="30" spans="1:10">
      <c r="B30" s="53">
        <v>5</v>
      </c>
      <c r="C30" t="s">
        <v>137</v>
      </c>
      <c r="D30" s="200">
        <v>0</v>
      </c>
      <c r="H30" s="62"/>
      <c r="I30" s="62"/>
      <c r="J30" s="62"/>
    </row>
    <row r="31" spans="1:10">
      <c r="B31" s="53"/>
    </row>
    <row r="32" spans="1:10">
      <c r="C32" s="6" t="s">
        <v>0</v>
      </c>
      <c r="D32" s="111">
        <f>(D22*(1+D12))*D24*D14+(D26+D28+D30)</f>
        <v>12830.400000000001</v>
      </c>
      <c r="H32" s="17"/>
    </row>
    <row r="34" spans="1:4">
      <c r="A34" s="35" t="s">
        <v>204</v>
      </c>
      <c r="B34" s="35" t="s">
        <v>143</v>
      </c>
      <c r="C34" s="35"/>
      <c r="D34" s="64"/>
    </row>
    <row r="36" spans="1:4">
      <c r="B36" s="53">
        <v>1</v>
      </c>
      <c r="C36" t="s">
        <v>144</v>
      </c>
      <c r="D36" s="183">
        <f>'ROI Questionnaire'!D113</f>
        <v>219000</v>
      </c>
    </row>
    <row r="37" spans="1:4">
      <c r="B37" s="53"/>
    </row>
    <row r="38" spans="1:4" ht="25.5">
      <c r="B38" s="53">
        <v>2</v>
      </c>
      <c r="C38" s="51" t="s">
        <v>148</v>
      </c>
      <c r="D38" s="201">
        <v>0.5</v>
      </c>
    </row>
    <row r="39" spans="1:4">
      <c r="B39" s="53"/>
    </row>
    <row r="40" spans="1:4">
      <c r="C40" s="6" t="s">
        <v>0</v>
      </c>
      <c r="D40" s="111">
        <f>D36/260*D14*D38</f>
        <v>22742.307692307691</v>
      </c>
    </row>
    <row r="43" spans="1:4">
      <c r="A43" s="105" t="s">
        <v>205</v>
      </c>
      <c r="B43" s="105" t="s">
        <v>150</v>
      </c>
      <c r="C43" s="105"/>
      <c r="D43" s="106">
        <f>IFERROR((D40+D32-D18)/D14,"")</f>
        <v>341.9538461538462</v>
      </c>
    </row>
  </sheetData>
  <sheetProtection algorithmName="SHA-512" hashValue="fGyt5tDs2blLeEzeFHNqzUOaCEKzbrvio06XywcEgoPMZ/zMKFvs8ocEla3LCIVpsy8tvanpbnhCkqIGy0CQ+w==" saltValue="nHjI+Yuodp3JsWdecuQbAA==" spinCount="100000" sheet="1" scenarios="1"/>
  <mergeCells count="2">
    <mergeCell ref="H16:H17"/>
    <mergeCell ref="J16:J17"/>
  </mergeCells>
  <printOptions horizontalCentered="1"/>
  <pageMargins left="0.7" right="0.7" top="0.75" bottom="0.75" header="0.3" footer="0.3"/>
  <pageSetup scale="9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6F368-BA0A-4DB9-B458-0D090B5527BB}">
  <sheetPr codeName="Sheet4">
    <pageSetUpPr autoPageBreaks="0" fitToPage="1"/>
  </sheetPr>
  <dimension ref="A1:J76"/>
  <sheetViews>
    <sheetView showGridLines="0" showRowColHeaders="0" workbookViewId="0">
      <pane ySplit="3" topLeftCell="A4" activePane="bottomLeft" state="frozen"/>
      <selection pane="bottomLeft" activeCell="I60" sqref="I60"/>
    </sheetView>
  </sheetViews>
  <sheetFormatPr defaultRowHeight="12.75"/>
  <cols>
    <col min="1" max="1" width="3" customWidth="1"/>
    <col min="2" max="2" width="3.125" customWidth="1"/>
    <col min="3" max="3" width="63.375" customWidth="1"/>
    <col min="4" max="5" width="16.5" customWidth="1"/>
    <col min="8" max="8" width="31.5" customWidth="1"/>
    <col min="9" max="9" width="41.75" customWidth="1"/>
  </cols>
  <sheetData>
    <row r="1" spans="1:10" ht="24.75" customHeight="1">
      <c r="C1" s="62"/>
    </row>
    <row r="2" spans="1:10" ht="71.25" customHeight="1">
      <c r="D2" s="62"/>
    </row>
    <row r="4" spans="1:10">
      <c r="A4" t="s">
        <v>201</v>
      </c>
      <c r="B4" s="59" t="s">
        <v>169</v>
      </c>
      <c r="C4" s="35"/>
      <c r="D4" s="94"/>
      <c r="E4" s="94"/>
    </row>
    <row r="5" spans="1:10">
      <c r="B5" s="66"/>
      <c r="C5" s="63"/>
    </row>
    <row r="6" spans="1:10">
      <c r="B6" s="95">
        <v>1</v>
      </c>
      <c r="C6" s="51" t="s">
        <v>121</v>
      </c>
    </row>
    <row r="7" spans="1:10">
      <c r="B7" s="95"/>
    </row>
    <row r="8" spans="1:10">
      <c r="A8" t="s">
        <v>202</v>
      </c>
      <c r="B8" s="35" t="s">
        <v>35</v>
      </c>
      <c r="C8" s="35"/>
      <c r="D8" s="64" t="s">
        <v>33</v>
      </c>
      <c r="E8" s="64" t="s">
        <v>34</v>
      </c>
    </row>
    <row r="9" spans="1:10" s="72" customFormat="1">
      <c r="A9"/>
      <c r="B9" s="103"/>
      <c r="C9" s="103"/>
      <c r="D9" s="103"/>
      <c r="E9" s="103"/>
    </row>
    <row r="10" spans="1:10">
      <c r="B10" s="53">
        <v>1</v>
      </c>
      <c r="C10" t="s">
        <v>174</v>
      </c>
      <c r="D10" s="141">
        <v>25</v>
      </c>
      <c r="E10" s="141">
        <v>25</v>
      </c>
    </row>
    <row r="11" spans="1:10">
      <c r="B11" s="53"/>
      <c r="D11" s="21"/>
      <c r="E11" s="21"/>
    </row>
    <row r="12" spans="1:10">
      <c r="B12" s="53">
        <v>2</v>
      </c>
      <c r="C12" t="s">
        <v>175</v>
      </c>
      <c r="D12" s="141">
        <v>50</v>
      </c>
      <c r="E12" s="141">
        <v>50</v>
      </c>
      <c r="H12" s="38"/>
      <c r="I12" s="101"/>
      <c r="J12" s="62"/>
    </row>
    <row r="13" spans="1:10">
      <c r="B13" s="53"/>
      <c r="H13" s="38"/>
      <c r="I13" s="62"/>
      <c r="J13" s="62"/>
    </row>
    <row r="14" spans="1:10">
      <c r="B14" s="53">
        <v>3</v>
      </c>
      <c r="C14" t="s">
        <v>176</v>
      </c>
      <c r="D14" s="112">
        <v>4160</v>
      </c>
      <c r="E14" s="112">
        <v>520</v>
      </c>
      <c r="H14" s="38"/>
      <c r="I14" s="62"/>
      <c r="J14" s="62"/>
    </row>
    <row r="15" spans="1:10">
      <c r="B15" s="53"/>
      <c r="H15" s="38"/>
      <c r="I15" s="62"/>
      <c r="J15" s="62"/>
    </row>
    <row r="16" spans="1:10">
      <c r="B16" s="53">
        <v>4</v>
      </c>
      <c r="C16" t="s">
        <v>177</v>
      </c>
      <c r="D16" s="112">
        <v>500</v>
      </c>
      <c r="E16" s="112">
        <v>125</v>
      </c>
      <c r="H16" s="253"/>
      <c r="I16" s="102"/>
      <c r="J16" s="254"/>
    </row>
    <row r="17" spans="1:10">
      <c r="B17" s="53"/>
      <c r="H17" s="253"/>
      <c r="I17" s="62"/>
      <c r="J17" s="255"/>
    </row>
    <row r="18" spans="1:10">
      <c r="B18" s="53">
        <v>5</v>
      </c>
      <c r="C18" t="s">
        <v>171</v>
      </c>
      <c r="D18" s="104"/>
      <c r="E18" s="104"/>
      <c r="H18" s="127"/>
      <c r="I18" s="62"/>
      <c r="J18" s="128"/>
    </row>
    <row r="19" spans="1:10">
      <c r="B19" s="53"/>
      <c r="H19" s="127"/>
      <c r="I19" s="62"/>
      <c r="J19" s="128"/>
    </row>
    <row r="20" spans="1:10">
      <c r="C20" s="6" t="s">
        <v>0</v>
      </c>
      <c r="D20" s="110">
        <f>(D10*D14)+(D12*D16)+D18</f>
        <v>129000</v>
      </c>
      <c r="E20" s="110">
        <f>(E10*E14)+(E12*E16)+E18</f>
        <v>19250</v>
      </c>
      <c r="H20" s="38"/>
      <c r="I20" s="62"/>
      <c r="J20" s="62"/>
    </row>
    <row r="21" spans="1:10">
      <c r="H21" s="38"/>
      <c r="I21" s="62"/>
      <c r="J21" s="62"/>
    </row>
    <row r="22" spans="1:10">
      <c r="A22" t="s">
        <v>203</v>
      </c>
      <c r="B22" s="35" t="s">
        <v>36</v>
      </c>
      <c r="C22" s="35"/>
      <c r="D22" s="64" t="s">
        <v>33</v>
      </c>
      <c r="E22" s="64" t="s">
        <v>34</v>
      </c>
      <c r="H22" s="38"/>
      <c r="I22" s="62"/>
      <c r="J22" s="62"/>
    </row>
    <row r="23" spans="1:10">
      <c r="H23" s="38"/>
      <c r="I23" s="62"/>
      <c r="J23" s="62"/>
    </row>
    <row r="24" spans="1:10">
      <c r="B24" s="53">
        <v>1</v>
      </c>
      <c r="C24" s="62" t="s">
        <v>1</v>
      </c>
      <c r="D24" s="104">
        <v>25000</v>
      </c>
      <c r="E24" s="104"/>
      <c r="H24" s="38"/>
      <c r="I24" s="62"/>
      <c r="J24" s="62"/>
    </row>
    <row r="25" spans="1:10">
      <c r="B25" s="53"/>
      <c r="C25" s="62"/>
      <c r="I25" s="62"/>
      <c r="J25" s="62"/>
    </row>
    <row r="26" spans="1:10">
      <c r="B26" s="53">
        <v>2</v>
      </c>
      <c r="C26" s="62" t="s">
        <v>3</v>
      </c>
      <c r="D26" s="104">
        <v>5000</v>
      </c>
      <c r="E26" s="104"/>
      <c r="I26" s="62"/>
      <c r="J26" s="62"/>
    </row>
    <row r="27" spans="1:10">
      <c r="B27" s="53"/>
      <c r="C27" s="62"/>
      <c r="I27" s="62"/>
      <c r="J27" s="62"/>
    </row>
    <row r="28" spans="1:10">
      <c r="B28" s="53">
        <v>3</v>
      </c>
      <c r="C28" s="62" t="s">
        <v>4</v>
      </c>
      <c r="D28" s="104"/>
      <c r="E28" s="104"/>
      <c r="I28" s="62"/>
      <c r="J28" s="62"/>
    </row>
    <row r="29" spans="1:10">
      <c r="B29" s="53"/>
      <c r="I29" s="62"/>
      <c r="J29" s="62"/>
    </row>
    <row r="30" spans="1:10">
      <c r="B30" s="53">
        <v>4</v>
      </c>
      <c r="C30" s="62" t="s">
        <v>5</v>
      </c>
      <c r="D30" s="104"/>
      <c r="E30" s="104"/>
      <c r="I30" s="62"/>
      <c r="J30" s="62"/>
    </row>
    <row r="31" spans="1:10">
      <c r="B31" s="53"/>
      <c r="I31" s="62"/>
      <c r="J31" s="62"/>
    </row>
    <row r="32" spans="1:10">
      <c r="B32" s="53">
        <v>5</v>
      </c>
      <c r="C32" s="62" t="s">
        <v>7</v>
      </c>
      <c r="D32" s="104"/>
      <c r="E32" s="104"/>
      <c r="I32" s="62"/>
      <c r="J32" s="62"/>
    </row>
    <row r="33" spans="2:10">
      <c r="B33" s="53"/>
    </row>
    <row r="34" spans="2:10">
      <c r="B34" s="53">
        <v>6</v>
      </c>
      <c r="C34" s="62" t="s">
        <v>9</v>
      </c>
      <c r="D34" s="104">
        <v>5000</v>
      </c>
      <c r="E34" s="104">
        <v>5000</v>
      </c>
    </row>
    <row r="35" spans="2:10">
      <c r="B35" s="53"/>
    </row>
    <row r="36" spans="2:10">
      <c r="B36" s="53">
        <v>7</v>
      </c>
      <c r="C36" s="62" t="s">
        <v>12</v>
      </c>
      <c r="D36" s="104"/>
      <c r="E36" s="104"/>
    </row>
    <row r="37" spans="2:10">
      <c r="B37" s="53"/>
    </row>
    <row r="38" spans="2:10">
      <c r="B38" s="53">
        <v>8</v>
      </c>
      <c r="C38" s="62" t="s">
        <v>15</v>
      </c>
      <c r="D38" s="104"/>
      <c r="E38" s="104"/>
    </row>
    <row r="39" spans="2:10">
      <c r="B39" s="53"/>
    </row>
    <row r="40" spans="2:10">
      <c r="B40" s="53">
        <v>9</v>
      </c>
      <c r="C40" s="62" t="s">
        <v>17</v>
      </c>
      <c r="D40" s="104"/>
      <c r="E40" s="104"/>
    </row>
    <row r="41" spans="2:10">
      <c r="B41" s="53"/>
    </row>
    <row r="42" spans="2:10">
      <c r="B42" s="53">
        <v>10</v>
      </c>
      <c r="C42" s="62" t="s">
        <v>16</v>
      </c>
      <c r="D42" s="104"/>
      <c r="E42" s="104"/>
    </row>
    <row r="43" spans="2:10">
      <c r="B43" s="53"/>
    </row>
    <row r="44" spans="2:10">
      <c r="B44" s="53">
        <v>11</v>
      </c>
      <c r="C44" t="s">
        <v>19</v>
      </c>
      <c r="D44" s="104"/>
      <c r="E44" s="104"/>
    </row>
    <row r="46" spans="2:10">
      <c r="B46">
        <v>12</v>
      </c>
      <c r="C46" t="s">
        <v>171</v>
      </c>
      <c r="D46" s="104"/>
      <c r="E46" s="104"/>
    </row>
    <row r="48" spans="2:10">
      <c r="C48" s="6" t="s">
        <v>0</v>
      </c>
      <c r="D48" s="110">
        <f>SUM(D24:D46)</f>
        <v>35000</v>
      </c>
      <c r="E48" s="110">
        <f>SUM(E24:E46)</f>
        <v>5000</v>
      </c>
      <c r="H48" s="38"/>
      <c r="I48" s="62"/>
      <c r="J48" s="62"/>
    </row>
    <row r="49" spans="1:10">
      <c r="C49" s="6"/>
      <c r="D49" s="6"/>
      <c r="E49" s="6"/>
      <c r="F49" s="6"/>
      <c r="G49" s="6"/>
      <c r="H49" s="38"/>
      <c r="I49" s="62"/>
      <c r="J49" s="62"/>
    </row>
    <row r="50" spans="1:10">
      <c r="A50" t="s">
        <v>204</v>
      </c>
      <c r="B50" s="35" t="s">
        <v>170</v>
      </c>
      <c r="C50" s="35"/>
      <c r="D50" s="64" t="s">
        <v>33</v>
      </c>
      <c r="E50" s="64" t="s">
        <v>34</v>
      </c>
      <c r="H50" s="38"/>
      <c r="I50" s="62"/>
      <c r="J50" s="62"/>
    </row>
    <row r="51" spans="1:10">
      <c r="H51" s="38"/>
      <c r="I51" s="62"/>
      <c r="J51" s="62"/>
    </row>
    <row r="52" spans="1:10">
      <c r="B52" s="53">
        <v>1</v>
      </c>
      <c r="C52" s="62" t="s">
        <v>2</v>
      </c>
      <c r="D52" s="104"/>
      <c r="E52" s="104"/>
      <c r="H52" s="38"/>
      <c r="I52" s="62"/>
      <c r="J52" s="62"/>
    </row>
    <row r="53" spans="1:10">
      <c r="B53" s="53"/>
      <c r="C53" s="62"/>
      <c r="I53" s="62"/>
      <c r="J53" s="62"/>
    </row>
    <row r="54" spans="1:10">
      <c r="B54" s="53">
        <v>2</v>
      </c>
      <c r="C54" s="62" t="s">
        <v>6</v>
      </c>
      <c r="D54" s="104"/>
      <c r="E54" s="104"/>
      <c r="I54" s="62"/>
      <c r="J54" s="62"/>
    </row>
    <row r="55" spans="1:10">
      <c r="B55" s="53"/>
      <c r="C55" s="62"/>
      <c r="I55" s="62"/>
      <c r="J55" s="62"/>
    </row>
    <row r="56" spans="1:10">
      <c r="B56" s="53">
        <v>3</v>
      </c>
      <c r="C56" s="62" t="s">
        <v>8</v>
      </c>
      <c r="D56" s="104"/>
      <c r="E56" s="104"/>
      <c r="I56" s="62"/>
      <c r="J56" s="62"/>
    </row>
    <row r="57" spans="1:10">
      <c r="B57" s="53"/>
      <c r="I57" s="62"/>
      <c r="J57" s="62"/>
    </row>
    <row r="58" spans="1:10">
      <c r="B58" s="53">
        <v>4</v>
      </c>
      <c r="C58" s="62" t="s">
        <v>10</v>
      </c>
      <c r="D58" s="104"/>
      <c r="E58" s="104"/>
      <c r="I58" s="62"/>
      <c r="J58" s="62"/>
    </row>
    <row r="59" spans="1:10">
      <c r="B59" s="53"/>
      <c r="I59" s="62"/>
      <c r="J59" s="62"/>
    </row>
    <row r="60" spans="1:10">
      <c r="B60" s="53">
        <v>5</v>
      </c>
      <c r="C60" s="62" t="s">
        <v>11</v>
      </c>
      <c r="D60" s="104"/>
      <c r="E60" s="104"/>
      <c r="I60" s="62"/>
      <c r="J60" s="62"/>
    </row>
    <row r="61" spans="1:10">
      <c r="B61" s="53"/>
    </row>
    <row r="62" spans="1:10">
      <c r="B62" s="53">
        <v>6</v>
      </c>
      <c r="C62" s="62" t="s">
        <v>13</v>
      </c>
      <c r="D62" s="104"/>
      <c r="E62" s="104"/>
    </row>
    <row r="63" spans="1:10">
      <c r="B63" s="53"/>
    </row>
    <row r="64" spans="1:10">
      <c r="B64" s="53">
        <v>7</v>
      </c>
      <c r="C64" s="62" t="s">
        <v>14</v>
      </c>
      <c r="D64" s="104"/>
      <c r="E64" s="104"/>
    </row>
    <row r="65" spans="1:10">
      <c r="B65" s="53"/>
    </row>
    <row r="66" spans="1:10">
      <c r="B66" s="53">
        <v>8</v>
      </c>
      <c r="C66" s="62" t="s">
        <v>18</v>
      </c>
      <c r="D66" s="104"/>
      <c r="E66" s="104"/>
    </row>
    <row r="67" spans="1:10">
      <c r="B67" s="53"/>
    </row>
    <row r="68" spans="1:10">
      <c r="B68" s="53">
        <v>9</v>
      </c>
      <c r="C68" t="s">
        <v>171</v>
      </c>
      <c r="D68" s="104"/>
      <c r="E68" s="104"/>
    </row>
    <row r="69" spans="1:10">
      <c r="B69" s="53"/>
    </row>
    <row r="70" spans="1:10">
      <c r="C70" s="6" t="s">
        <v>0</v>
      </c>
      <c r="D70" s="110">
        <f>SUM(D52:D69)</f>
        <v>0</v>
      </c>
      <c r="E70" s="110">
        <f>SUM(E52:E69)</f>
        <v>0</v>
      </c>
      <c r="H70" s="38"/>
      <c r="I70" s="62"/>
      <c r="J70" s="62"/>
    </row>
    <row r="72" spans="1:10">
      <c r="A72" t="s">
        <v>205</v>
      </c>
      <c r="B72" s="130"/>
      <c r="C72" s="130" t="s">
        <v>172</v>
      </c>
      <c r="D72" s="106">
        <f>D20+D48+D70</f>
        <v>164000</v>
      </c>
      <c r="E72" s="106">
        <f>E20+E48+E70</f>
        <v>24250</v>
      </c>
    </row>
    <row r="74" spans="1:10">
      <c r="C74" s="6" t="s">
        <v>173</v>
      </c>
      <c r="D74" s="129">
        <v>33</v>
      </c>
      <c r="E74" s="129">
        <v>10</v>
      </c>
    </row>
    <row r="76" spans="1:10">
      <c r="A76" t="s">
        <v>206</v>
      </c>
      <c r="B76" s="130"/>
      <c r="C76" s="130" t="s">
        <v>20</v>
      </c>
      <c r="D76" s="106">
        <f>IFERROR(D72/D74,"")</f>
        <v>4969.69696969697</v>
      </c>
      <c r="E76" s="106">
        <f>IFERROR(E72/E74,"")</f>
        <v>2425</v>
      </c>
    </row>
  </sheetData>
  <sheetProtection algorithmName="SHA-512" hashValue="pL6laf3WxtL1K+o0a2dmqmLdYXxchyUtcarCrQGVbkJxFLF60pxaWldP9jlPXNltqRaBp3uP+JRwLH1N4FPUeQ==" saltValue="AOMCEysAFAW1YKEo+/aWRw==" spinCount="100000" sheet="1" objects="1" scenarios="1"/>
  <protectedRanges>
    <protectedRange sqref="D10:E10 D12:E12 D14:E14 D16:E16 D18:E18 D24:E24 D26:E26 D28:E28 D30:E30 D32:E32 D34:E34 D36:E36 D38:E38 D40:E40 D42:E42 D44:E44 D46:E46 D52:E52 D54:E54 D56:E56 D58:E58 D60:E60 D62:E62 D64:E64 D66:E66 D68:E68 D74:E74" name="Cost_Per_Hire"/>
  </protectedRanges>
  <mergeCells count="2">
    <mergeCell ref="H16:H17"/>
    <mergeCell ref="J16:J17"/>
  </mergeCells>
  <printOptions horizontalCentered="1"/>
  <pageMargins left="0.7" right="0.7" top="0.75" bottom="0.75" header="0.3" footer="0.3"/>
  <pageSetup scale="66"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4C143-DD30-4F5D-940E-1D7685834EBB}">
  <sheetPr codeName="Sheet5">
    <pageSetUpPr autoPageBreaks="0" fitToPage="1"/>
  </sheetPr>
  <dimension ref="A1:J54"/>
  <sheetViews>
    <sheetView showGridLines="0" showRowColHeaders="0" workbookViewId="0">
      <pane ySplit="3" topLeftCell="A4" activePane="bottomLeft" state="frozen"/>
      <selection pane="bottomLeft" activeCell="A4" sqref="A4"/>
    </sheetView>
  </sheetViews>
  <sheetFormatPr defaultRowHeight="12.75"/>
  <cols>
    <col min="1" max="1" width="3" customWidth="1"/>
    <col min="2" max="2" width="3.125" customWidth="1"/>
    <col min="3" max="3" width="75.75" customWidth="1"/>
    <col min="4" max="4" width="12.375" bestFit="1" customWidth="1"/>
    <col min="8" max="8" width="31.5" customWidth="1"/>
    <col min="9" max="9" width="41.75" customWidth="1"/>
  </cols>
  <sheetData>
    <row r="1" spans="1:10" ht="24.75" customHeight="1">
      <c r="C1" s="62"/>
    </row>
    <row r="2" spans="1:10" ht="71.25" customHeight="1">
      <c r="D2" s="62"/>
    </row>
    <row r="4" spans="1:10">
      <c r="A4" s="35" t="s">
        <v>201</v>
      </c>
      <c r="B4" s="59" t="s">
        <v>153</v>
      </c>
      <c r="C4" s="35"/>
      <c r="D4" s="94"/>
    </row>
    <row r="5" spans="1:10">
      <c r="B5" s="66"/>
      <c r="C5" s="63"/>
    </row>
    <row r="6" spans="1:10">
      <c r="B6" s="95">
        <v>1</v>
      </c>
      <c r="C6" s="51" t="s">
        <v>121</v>
      </c>
    </row>
    <row r="7" spans="1:10">
      <c r="B7" s="95"/>
      <c r="C7" s="51"/>
    </row>
    <row r="8" spans="1:10" ht="16.5" customHeight="1">
      <c r="B8" s="95">
        <v>2</v>
      </c>
      <c r="C8" s="100" t="s">
        <v>238</v>
      </c>
    </row>
    <row r="9" spans="1:10">
      <c r="B9" s="95"/>
      <c r="C9" s="51"/>
    </row>
    <row r="10" spans="1:10">
      <c r="A10" s="35" t="s">
        <v>202</v>
      </c>
      <c r="B10" s="35" t="s">
        <v>162</v>
      </c>
      <c r="C10" s="35"/>
      <c r="D10" s="64"/>
    </row>
    <row r="11" spans="1:10" s="72" customFormat="1">
      <c r="A11"/>
      <c r="B11" s="103"/>
      <c r="C11" s="103"/>
      <c r="D11" s="103"/>
    </row>
    <row r="12" spans="1:10">
      <c r="B12" s="53">
        <v>1</v>
      </c>
      <c r="C12" t="s">
        <v>157</v>
      </c>
      <c r="D12" s="183">
        <f>'Cost of Vacancy WS'!D10</f>
        <v>30</v>
      </c>
    </row>
    <row r="13" spans="1:10">
      <c r="B13" s="53"/>
      <c r="D13" s="21"/>
    </row>
    <row r="14" spans="1:10">
      <c r="B14" s="53">
        <v>2</v>
      </c>
      <c r="C14" t="s">
        <v>156</v>
      </c>
      <c r="D14" s="200">
        <f>65566/2080</f>
        <v>31.522115384615386</v>
      </c>
      <c r="H14" s="38"/>
      <c r="I14" s="101"/>
      <c r="J14" s="62"/>
    </row>
    <row r="15" spans="1:10">
      <c r="B15" s="53"/>
      <c r="H15" s="38"/>
      <c r="I15" s="62"/>
      <c r="J15" s="62"/>
    </row>
    <row r="16" spans="1:10">
      <c r="B16" s="53">
        <v>3</v>
      </c>
      <c r="C16" s="181" t="s">
        <v>228</v>
      </c>
      <c r="D16" s="185">
        <f>'Cost of Vacancy WS'!D12</f>
        <v>0.32</v>
      </c>
      <c r="H16" s="38"/>
      <c r="I16" s="62"/>
      <c r="J16" s="62"/>
    </row>
    <row r="17" spans="1:10">
      <c r="B17" s="53"/>
      <c r="H17" s="38"/>
      <c r="I17" s="62"/>
      <c r="J17" s="62"/>
    </row>
    <row r="18" spans="1:10">
      <c r="B18" s="53">
        <v>3</v>
      </c>
      <c r="C18" t="s">
        <v>155</v>
      </c>
      <c r="D18" s="199">
        <v>1</v>
      </c>
      <c r="H18" s="38"/>
      <c r="I18" s="62"/>
      <c r="J18" s="62"/>
    </row>
    <row r="19" spans="1:10">
      <c r="B19" s="53"/>
      <c r="H19" s="38"/>
      <c r="I19" s="62"/>
      <c r="J19" s="62"/>
    </row>
    <row r="20" spans="1:10">
      <c r="B20" s="53">
        <v>4</v>
      </c>
      <c r="C20" t="s">
        <v>158</v>
      </c>
      <c r="D20" s="202">
        <v>24</v>
      </c>
      <c r="H20" s="253"/>
      <c r="I20" s="102"/>
      <c r="J20" s="254"/>
    </row>
    <row r="21" spans="1:10">
      <c r="B21" s="53"/>
      <c r="H21" s="253"/>
      <c r="I21" s="62"/>
      <c r="J21" s="254"/>
    </row>
    <row r="22" spans="1:10">
      <c r="B22" s="53">
        <v>5</v>
      </c>
      <c r="C22" s="100" t="s">
        <v>160</v>
      </c>
      <c r="D22" s="183">
        <f>'Cost of Vacancy WS'!D36</f>
        <v>219000</v>
      </c>
      <c r="H22" s="253"/>
      <c r="I22" s="102"/>
      <c r="J22" s="254"/>
    </row>
    <row r="23" spans="1:10">
      <c r="B23" s="53"/>
      <c r="H23" s="253"/>
      <c r="I23" s="62"/>
      <c r="J23" s="254"/>
    </row>
    <row r="24" spans="1:10">
      <c r="C24" s="6" t="s">
        <v>162</v>
      </c>
      <c r="D24" s="110">
        <f>((D12*(1+D16))*D18)+((D14*(1+D16)*D18))+(D20*D12*(1+D16))+(D22/2080*D20)</f>
        <v>3558.5322692307691</v>
      </c>
      <c r="H24" s="108"/>
      <c r="I24" s="62"/>
      <c r="J24" s="62"/>
    </row>
    <row r="25" spans="1:10">
      <c r="H25" s="38"/>
      <c r="I25" s="62"/>
      <c r="J25" s="62"/>
    </row>
    <row r="26" spans="1:10">
      <c r="A26" s="35" t="s">
        <v>203</v>
      </c>
      <c r="B26" s="35" t="s">
        <v>165</v>
      </c>
      <c r="C26" s="35"/>
      <c r="D26" s="64"/>
      <c r="H26" s="38"/>
      <c r="I26" s="62"/>
      <c r="J26" s="62"/>
    </row>
    <row r="27" spans="1:10">
      <c r="H27" s="38"/>
      <c r="I27" s="62"/>
      <c r="J27" s="62"/>
    </row>
    <row r="28" spans="1:10" ht="25.5">
      <c r="B28" s="53">
        <v>1</v>
      </c>
      <c r="C28" s="51" t="s">
        <v>161</v>
      </c>
      <c r="D28" s="183">
        <f>'Cost of Vacancy WS'!D43</f>
        <v>341.9538461538462</v>
      </c>
      <c r="H28" s="38"/>
      <c r="I28" s="62"/>
      <c r="J28" s="62"/>
    </row>
    <row r="29" spans="1:10">
      <c r="B29" s="53"/>
      <c r="H29" s="38"/>
      <c r="I29" s="62"/>
      <c r="J29" s="62"/>
    </row>
    <row r="30" spans="1:10">
      <c r="B30" s="53">
        <v>2</v>
      </c>
      <c r="C30" t="s">
        <v>227</v>
      </c>
      <c r="D30" s="205">
        <f>'Cost of Vacancy WS'!D14</f>
        <v>54</v>
      </c>
      <c r="H30" s="38"/>
      <c r="I30" s="62"/>
      <c r="J30" s="62"/>
    </row>
    <row r="31" spans="1:10">
      <c r="B31" s="53"/>
      <c r="D31" s="180"/>
      <c r="H31" s="38"/>
      <c r="I31" s="62"/>
      <c r="J31" s="62"/>
    </row>
    <row r="32" spans="1:10">
      <c r="B32" s="53">
        <v>3</v>
      </c>
      <c r="C32" t="s">
        <v>229</v>
      </c>
      <c r="D32" s="202">
        <f>D30/2</f>
        <v>27</v>
      </c>
      <c r="H32" s="38"/>
      <c r="I32" s="62"/>
      <c r="J32" s="62"/>
    </row>
    <row r="33" spans="1:10">
      <c r="B33" s="53"/>
      <c r="H33" s="38"/>
      <c r="I33" s="62"/>
      <c r="J33" s="62"/>
    </row>
    <row r="34" spans="1:10">
      <c r="C34" s="6" t="s">
        <v>230</v>
      </c>
      <c r="D34" s="110">
        <f>D28*D30</f>
        <v>18465.507692307696</v>
      </c>
      <c r="H34" s="108"/>
      <c r="I34" s="62"/>
      <c r="J34" s="62"/>
    </row>
    <row r="35" spans="1:10">
      <c r="H35" s="38"/>
      <c r="I35" s="62"/>
      <c r="J35" s="62"/>
    </row>
    <row r="36" spans="1:10">
      <c r="C36" s="6" t="s">
        <v>231</v>
      </c>
      <c r="D36" s="110">
        <f>D28*D32</f>
        <v>9232.7538461538479</v>
      </c>
      <c r="H36" s="108"/>
      <c r="I36" s="62"/>
      <c r="J36" s="62"/>
    </row>
    <row r="37" spans="1:10">
      <c r="H37" s="38"/>
      <c r="I37" s="62"/>
      <c r="J37" s="62"/>
    </row>
    <row r="38" spans="1:10">
      <c r="A38" s="35" t="s">
        <v>204</v>
      </c>
      <c r="B38" s="35" t="s">
        <v>163</v>
      </c>
      <c r="C38" s="35"/>
      <c r="D38" s="64"/>
    </row>
    <row r="40" spans="1:10">
      <c r="B40" s="53">
        <v>1</v>
      </c>
      <c r="C40" t="s">
        <v>236</v>
      </c>
      <c r="D40" s="183">
        <f>'ROI Questionnaire'!D70</f>
        <v>4683</v>
      </c>
    </row>
    <row r="42" spans="1:10">
      <c r="B42" s="95">
        <v>2</v>
      </c>
      <c r="C42" s="51" t="s">
        <v>237</v>
      </c>
      <c r="D42" s="183">
        <f>'ROI Questionnaire'!D84</f>
        <v>2341.5</v>
      </c>
    </row>
    <row r="44" spans="1:10">
      <c r="A44" s="105" t="s">
        <v>205</v>
      </c>
      <c r="B44" s="105" t="s">
        <v>241</v>
      </c>
      <c r="C44" s="105"/>
      <c r="D44" s="106">
        <f>D24+D34+D40</f>
        <v>26707.039961538467</v>
      </c>
    </row>
    <row r="45" spans="1:10">
      <c r="B45" s="105" t="s">
        <v>166</v>
      </c>
      <c r="C45" s="105"/>
      <c r="D45" s="182">
        <f>D44/((D12*2080)*(1+D16))</f>
        <v>0.32424048127353422</v>
      </c>
      <c r="E45" s="21"/>
    </row>
    <row r="47" spans="1:10">
      <c r="A47" s="105" t="s">
        <v>206</v>
      </c>
      <c r="B47" s="105" t="s">
        <v>242</v>
      </c>
      <c r="C47" s="105"/>
      <c r="D47" s="106">
        <f>D24+D36+D42</f>
        <v>15132.786115384617</v>
      </c>
    </row>
    <row r="48" spans="1:10">
      <c r="B48" s="105" t="s">
        <v>166</v>
      </c>
      <c r="C48" s="105"/>
      <c r="D48" s="182">
        <f>D47/((D12*2080)*(1+D16))</f>
        <v>0.18372166515375651</v>
      </c>
    </row>
    <row r="51" spans="1:3">
      <c r="A51" t="s">
        <v>252</v>
      </c>
    </row>
    <row r="52" spans="1:3">
      <c r="C52" s="189" t="s">
        <v>249</v>
      </c>
    </row>
    <row r="53" spans="1:3">
      <c r="C53" s="189" t="s">
        <v>250</v>
      </c>
    </row>
    <row r="54" spans="1:3">
      <c r="C54" s="189" t="s">
        <v>251</v>
      </c>
    </row>
  </sheetData>
  <sheetProtection algorithmName="SHA-512" hashValue="npwdFA1GP1n9rW5DMJqDmrKSku+S7M74KS5PTGCpLeFYL+Z5/sq37KpguvTRysMRxOzFEs2iWjeQOPj3P8512w==" saltValue="+Ts7Kes5Gb9+ljvCBpXZFA==" spinCount="100000" sheet="1" scenarios="1"/>
  <mergeCells count="4">
    <mergeCell ref="H22:H23"/>
    <mergeCell ref="J22:J23"/>
    <mergeCell ref="H20:H21"/>
    <mergeCell ref="J20:J21"/>
  </mergeCells>
  <printOptions horizontalCentered="1"/>
  <pageMargins left="0.7" right="0.7" top="0.75" bottom="0.75" header="0.3" footer="0.3"/>
  <pageSetup scale="91"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C29A3-AB20-46B4-842F-6164C67437C8}">
  <dimension ref="A1:J114"/>
  <sheetViews>
    <sheetView showGridLines="0" showRowColHeaders="0" zoomScaleNormal="100" workbookViewId="0">
      <pane ySplit="3" topLeftCell="A4" activePane="bottomLeft" state="frozenSplit"/>
      <selection pane="bottomLeft" activeCell="A4" sqref="A4"/>
    </sheetView>
  </sheetViews>
  <sheetFormatPr defaultRowHeight="12.75"/>
  <cols>
    <col min="1" max="1" width="3" customWidth="1"/>
    <col min="2" max="2" width="3.125" customWidth="1"/>
    <col min="3" max="3" width="45.75" customWidth="1"/>
    <col min="4" max="4" width="16.125" customWidth="1"/>
    <col min="5" max="5" width="11" customWidth="1"/>
    <col min="6" max="6" width="15.5" customWidth="1"/>
    <col min="7" max="7" width="16.5" customWidth="1"/>
    <col min="8" max="8" width="10.625" customWidth="1"/>
    <col min="9" max="9" width="11.25" customWidth="1"/>
    <col min="10" max="21" width="8.5" customWidth="1"/>
  </cols>
  <sheetData>
    <row r="1" spans="1:7" ht="24.75" customHeight="1">
      <c r="C1" s="62"/>
    </row>
    <row r="2" spans="1:7" ht="71.25" customHeight="1">
      <c r="D2" s="62"/>
    </row>
    <row r="4" spans="1:7">
      <c r="A4" s="35" t="s">
        <v>201</v>
      </c>
      <c r="B4" s="59" t="s">
        <v>194</v>
      </c>
      <c r="C4" s="35"/>
      <c r="D4" s="94"/>
    </row>
    <row r="5" spans="1:7">
      <c r="B5" s="66"/>
      <c r="C5" s="63"/>
    </row>
    <row r="6" spans="1:7" ht="15.75" customHeight="1">
      <c r="B6" s="95">
        <v>1</v>
      </c>
      <c r="C6" s="100" t="s">
        <v>187</v>
      </c>
    </row>
    <row r="7" spans="1:7">
      <c r="B7" s="95"/>
      <c r="C7" s="51"/>
    </row>
    <row r="8" spans="1:7">
      <c r="B8" s="95"/>
      <c r="C8" s="51"/>
    </row>
    <row r="9" spans="1:7">
      <c r="A9" s="35" t="s">
        <v>202</v>
      </c>
      <c r="B9" s="35" t="s">
        <v>186</v>
      </c>
      <c r="C9" s="35"/>
      <c r="D9" s="64"/>
    </row>
    <row r="10" spans="1:7" s="72" customFormat="1">
      <c r="A10"/>
      <c r="B10" s="103"/>
      <c r="C10" s="103"/>
      <c r="D10" s="103"/>
    </row>
    <row r="11" spans="1:7" ht="69.599999999999994" customHeight="1">
      <c r="B11" s="95">
        <v>1</v>
      </c>
      <c r="C11" s="100" t="s">
        <v>277</v>
      </c>
      <c r="D11" s="23" t="s">
        <v>275</v>
      </c>
      <c r="E11" s="23" t="s">
        <v>270</v>
      </c>
      <c r="F11" s="23" t="s">
        <v>271</v>
      </c>
      <c r="G11" s="23" t="s">
        <v>272</v>
      </c>
    </row>
    <row r="12" spans="1:7">
      <c r="B12" s="95"/>
      <c r="C12" s="98" t="s">
        <v>21</v>
      </c>
      <c r="D12" s="238">
        <f>'ROI Details'!$C$6</f>
        <v>10</v>
      </c>
      <c r="E12" s="199">
        <v>2</v>
      </c>
      <c r="F12" s="243">
        <v>5000</v>
      </c>
      <c r="G12" s="239">
        <f>E12*F12</f>
        <v>10000</v>
      </c>
    </row>
    <row r="13" spans="1:7">
      <c r="B13" s="95"/>
      <c r="C13" s="98" t="s">
        <v>22</v>
      </c>
      <c r="D13" s="238">
        <f>'ROI Details'!$C$6</f>
        <v>10</v>
      </c>
      <c r="E13" s="199">
        <v>2</v>
      </c>
      <c r="F13" s="243">
        <v>5000</v>
      </c>
      <c r="G13" s="239">
        <f t="shared" ref="G13:G16" si="0">E13*F13</f>
        <v>10000</v>
      </c>
    </row>
    <row r="14" spans="1:7">
      <c r="B14" s="95"/>
      <c r="C14" s="98" t="s">
        <v>23</v>
      </c>
      <c r="D14" s="238">
        <f>'ROI Details'!$C$6</f>
        <v>10</v>
      </c>
      <c r="E14" s="199">
        <v>2</v>
      </c>
      <c r="F14" s="243">
        <v>5000</v>
      </c>
      <c r="G14" s="239">
        <f t="shared" si="0"/>
        <v>10000</v>
      </c>
    </row>
    <row r="15" spans="1:7">
      <c r="B15" s="95"/>
      <c r="C15" s="98" t="s">
        <v>24</v>
      </c>
      <c r="D15" s="238">
        <f>'ROI Details'!$C$6</f>
        <v>10</v>
      </c>
      <c r="E15" s="199">
        <v>2</v>
      </c>
      <c r="F15" s="243">
        <v>5000</v>
      </c>
      <c r="G15" s="239">
        <f t="shared" si="0"/>
        <v>10000</v>
      </c>
    </row>
    <row r="16" spans="1:7">
      <c r="B16" s="95"/>
      <c r="C16" s="98" t="s">
        <v>30</v>
      </c>
      <c r="D16" s="238">
        <f>'ROI Details'!$C$6</f>
        <v>10</v>
      </c>
      <c r="E16" s="199">
        <v>2</v>
      </c>
      <c r="F16" s="243">
        <v>5000</v>
      </c>
      <c r="G16" s="239">
        <f t="shared" si="0"/>
        <v>10000</v>
      </c>
    </row>
    <row r="17" spans="2:7">
      <c r="B17" s="95"/>
      <c r="F17" s="242" t="s">
        <v>189</v>
      </c>
      <c r="G17" s="241">
        <f>SUM(G12:G16)</f>
        <v>50000</v>
      </c>
    </row>
    <row r="18" spans="2:7">
      <c r="B18" s="95"/>
      <c r="F18" s="240"/>
      <c r="G18" s="47"/>
    </row>
    <row r="19" spans="2:7">
      <c r="B19" s="95"/>
      <c r="C19" s="98"/>
      <c r="D19" s="164"/>
    </row>
    <row r="20" spans="2:7" ht="71.25" customHeight="1">
      <c r="B20" s="95">
        <v>2</v>
      </c>
      <c r="C20" s="100" t="s">
        <v>276</v>
      </c>
      <c r="D20" s="23" t="s">
        <v>275</v>
      </c>
      <c r="E20" s="23" t="s">
        <v>270</v>
      </c>
      <c r="F20" s="23" t="s">
        <v>271</v>
      </c>
      <c r="G20" s="23" t="s">
        <v>272</v>
      </c>
    </row>
    <row r="21" spans="2:7">
      <c r="B21" s="95"/>
      <c r="C21" s="98" t="s">
        <v>21</v>
      </c>
      <c r="D21" s="238">
        <f>$D$12</f>
        <v>10</v>
      </c>
      <c r="E21" s="199">
        <v>2</v>
      </c>
      <c r="F21" s="243">
        <v>5000</v>
      </c>
      <c r="G21" s="239">
        <f>E21*F21</f>
        <v>10000</v>
      </c>
    </row>
    <row r="22" spans="2:7">
      <c r="B22" s="95"/>
      <c r="C22" s="98" t="s">
        <v>22</v>
      </c>
      <c r="D22" s="238">
        <f>$D$13</f>
        <v>10</v>
      </c>
      <c r="E22" s="199">
        <v>2</v>
      </c>
      <c r="F22" s="243">
        <v>5000</v>
      </c>
      <c r="G22" s="239">
        <f t="shared" ref="G22:G25" si="1">E22*F22</f>
        <v>10000</v>
      </c>
    </row>
    <row r="23" spans="2:7">
      <c r="B23" s="95"/>
      <c r="C23" s="98" t="s">
        <v>23</v>
      </c>
      <c r="D23" s="238">
        <f>$D$14</f>
        <v>10</v>
      </c>
      <c r="E23" s="199">
        <v>2</v>
      </c>
      <c r="F23" s="243">
        <v>5000</v>
      </c>
      <c r="G23" s="239">
        <f t="shared" si="1"/>
        <v>10000</v>
      </c>
    </row>
    <row r="24" spans="2:7">
      <c r="B24" s="95"/>
      <c r="C24" s="98" t="s">
        <v>24</v>
      </c>
      <c r="D24" s="238">
        <f>$D$15</f>
        <v>10</v>
      </c>
      <c r="E24" s="199">
        <v>2</v>
      </c>
      <c r="F24" s="243">
        <v>5000</v>
      </c>
      <c r="G24" s="239">
        <f t="shared" si="1"/>
        <v>10000</v>
      </c>
    </row>
    <row r="25" spans="2:7">
      <c r="B25" s="95"/>
      <c r="C25" s="98" t="s">
        <v>30</v>
      </c>
      <c r="D25" s="238">
        <f>$D$16</f>
        <v>10</v>
      </c>
      <c r="E25" s="199">
        <v>2</v>
      </c>
      <c r="F25" s="243">
        <v>5000</v>
      </c>
      <c r="G25" s="239">
        <f t="shared" si="1"/>
        <v>10000</v>
      </c>
    </row>
    <row r="26" spans="2:7">
      <c r="B26" s="95"/>
      <c r="F26" s="242" t="s">
        <v>190</v>
      </c>
      <c r="G26" s="241">
        <f>SUM(G21:G25)</f>
        <v>50000</v>
      </c>
    </row>
    <row r="27" spans="2:7">
      <c r="B27" s="95"/>
      <c r="F27" s="240"/>
      <c r="G27" s="47"/>
    </row>
    <row r="28" spans="2:7">
      <c r="B28" s="95"/>
      <c r="C28" s="98"/>
      <c r="D28" s="164"/>
    </row>
    <row r="29" spans="2:7" ht="42.4" customHeight="1">
      <c r="B29" s="95">
        <v>3</v>
      </c>
      <c r="C29" s="100" t="s">
        <v>213</v>
      </c>
      <c r="D29" s="23" t="s">
        <v>269</v>
      </c>
      <c r="E29" s="23" t="s">
        <v>270</v>
      </c>
      <c r="F29" s="23" t="s">
        <v>271</v>
      </c>
      <c r="G29" s="23" t="s">
        <v>272</v>
      </c>
    </row>
    <row r="30" spans="2:7">
      <c r="B30" s="95"/>
      <c r="C30" s="98" t="s">
        <v>21</v>
      </c>
      <c r="D30" s="238">
        <f>VLOOKUP('ROI Details'!C5,'ROI Details'!J71:O74,2)</f>
        <v>10</v>
      </c>
      <c r="E30" s="199">
        <v>0</v>
      </c>
      <c r="F30" s="243">
        <v>3500</v>
      </c>
      <c r="G30" s="239">
        <f>E30*F30</f>
        <v>0</v>
      </c>
    </row>
    <row r="31" spans="2:7">
      <c r="B31" s="95"/>
      <c r="C31" s="98" t="s">
        <v>22</v>
      </c>
      <c r="D31" s="238">
        <f>VLOOKUP('ROI Details'!C5,'ROI Details'!J71:O74,3)</f>
        <v>20</v>
      </c>
      <c r="E31" s="199">
        <v>0</v>
      </c>
      <c r="F31" s="243">
        <v>3500</v>
      </c>
      <c r="G31" s="239">
        <f t="shared" ref="G31:G34" si="2">E31*F31</f>
        <v>0</v>
      </c>
    </row>
    <row r="32" spans="2:7">
      <c r="B32" s="95"/>
      <c r="C32" s="98" t="s">
        <v>23</v>
      </c>
      <c r="D32" s="238">
        <f>VLOOKUP('ROI Details'!C5,'ROI Details'!J71:O74,4)</f>
        <v>30</v>
      </c>
      <c r="E32" s="199">
        <v>0</v>
      </c>
      <c r="F32" s="243">
        <v>3500</v>
      </c>
      <c r="G32" s="239">
        <f t="shared" si="2"/>
        <v>0</v>
      </c>
    </row>
    <row r="33" spans="2:7">
      <c r="B33" s="95"/>
      <c r="C33" s="98" t="s">
        <v>24</v>
      </c>
      <c r="D33" s="238">
        <f>VLOOKUP('ROI Details'!C5,'ROI Details'!J71:O74,5)</f>
        <v>30</v>
      </c>
      <c r="E33" s="199">
        <v>0</v>
      </c>
      <c r="F33" s="243">
        <v>3500</v>
      </c>
      <c r="G33" s="239">
        <f t="shared" si="2"/>
        <v>0</v>
      </c>
    </row>
    <row r="34" spans="2:7">
      <c r="B34" s="95"/>
      <c r="C34" s="98" t="s">
        <v>30</v>
      </c>
      <c r="D34" s="238">
        <f>VLOOKUP('ROI Details'!C5,'ROI Details'!J71:O74,6)</f>
        <v>30</v>
      </c>
      <c r="E34" s="199">
        <v>0</v>
      </c>
      <c r="F34" s="243">
        <v>3500</v>
      </c>
      <c r="G34" s="239">
        <f t="shared" si="2"/>
        <v>0</v>
      </c>
    </row>
    <row r="35" spans="2:7">
      <c r="B35" s="95"/>
      <c r="F35" s="242" t="s">
        <v>188</v>
      </c>
      <c r="G35" s="241">
        <f>SUM(G30:G34)</f>
        <v>0</v>
      </c>
    </row>
    <row r="36" spans="2:7">
      <c r="B36" s="95"/>
      <c r="F36" s="240"/>
      <c r="G36" s="47"/>
    </row>
    <row r="37" spans="2:7">
      <c r="B37" s="95"/>
      <c r="C37" s="98"/>
      <c r="D37" s="164"/>
    </row>
    <row r="38" spans="2:7" ht="53.65" customHeight="1">
      <c r="B38" s="95">
        <v>4</v>
      </c>
      <c r="C38" s="100" t="s">
        <v>278</v>
      </c>
      <c r="D38" s="23" t="s">
        <v>275</v>
      </c>
      <c r="E38" s="23" t="s">
        <v>270</v>
      </c>
      <c r="F38" s="23" t="s">
        <v>271</v>
      </c>
      <c r="G38" s="23" t="s">
        <v>272</v>
      </c>
    </row>
    <row r="39" spans="2:7">
      <c r="B39" s="95"/>
      <c r="C39" s="98" t="s">
        <v>21</v>
      </c>
      <c r="D39" s="238">
        <f>D12</f>
        <v>10</v>
      </c>
      <c r="E39" s="199">
        <v>0</v>
      </c>
      <c r="F39" s="243">
        <v>0</v>
      </c>
      <c r="G39" s="239">
        <f>E39*F39</f>
        <v>0</v>
      </c>
    </row>
    <row r="40" spans="2:7">
      <c r="B40" s="95"/>
      <c r="C40" s="98" t="s">
        <v>22</v>
      </c>
      <c r="D40" s="238">
        <f t="shared" ref="D40:D43" si="3">D13</f>
        <v>10</v>
      </c>
      <c r="E40" s="199">
        <v>0</v>
      </c>
      <c r="F40" s="243">
        <v>0</v>
      </c>
      <c r="G40" s="239">
        <f t="shared" ref="G40:G43" si="4">E40*F40</f>
        <v>0</v>
      </c>
    </row>
    <row r="41" spans="2:7">
      <c r="B41" s="95"/>
      <c r="C41" s="98" t="s">
        <v>23</v>
      </c>
      <c r="D41" s="238">
        <f t="shared" si="3"/>
        <v>10</v>
      </c>
      <c r="E41" s="199">
        <v>0</v>
      </c>
      <c r="F41" s="243">
        <v>0</v>
      </c>
      <c r="G41" s="239">
        <f t="shared" si="4"/>
        <v>0</v>
      </c>
    </row>
    <row r="42" spans="2:7">
      <c r="B42" s="95"/>
      <c r="C42" s="98" t="s">
        <v>24</v>
      </c>
      <c r="D42" s="238">
        <f t="shared" si="3"/>
        <v>10</v>
      </c>
      <c r="E42" s="199">
        <v>0</v>
      </c>
      <c r="F42" s="243">
        <v>0</v>
      </c>
      <c r="G42" s="239">
        <f t="shared" si="4"/>
        <v>0</v>
      </c>
    </row>
    <row r="43" spans="2:7">
      <c r="B43" s="95"/>
      <c r="C43" s="98" t="s">
        <v>30</v>
      </c>
      <c r="D43" s="238">
        <f t="shared" si="3"/>
        <v>10</v>
      </c>
      <c r="E43" s="199">
        <v>0</v>
      </c>
      <c r="F43" s="243">
        <v>0</v>
      </c>
      <c r="G43" s="239">
        <f t="shared" si="4"/>
        <v>0</v>
      </c>
    </row>
    <row r="44" spans="2:7">
      <c r="B44" s="95"/>
      <c r="F44" s="242" t="s">
        <v>191</v>
      </c>
      <c r="G44" s="241">
        <f>SUM(G39:G43)</f>
        <v>0</v>
      </c>
    </row>
    <row r="45" spans="2:7">
      <c r="B45" s="95"/>
      <c r="F45" s="240"/>
      <c r="G45" s="47"/>
    </row>
    <row r="46" spans="2:7">
      <c r="B46" s="95"/>
      <c r="C46" s="98"/>
      <c r="D46" s="164"/>
    </row>
    <row r="47" spans="2:7" ht="43.5" customHeight="1">
      <c r="B47" s="95">
        <v>5</v>
      </c>
      <c r="C47" s="100" t="s">
        <v>215</v>
      </c>
      <c r="D47" s="23" t="s">
        <v>269</v>
      </c>
      <c r="E47" s="23" t="s">
        <v>270</v>
      </c>
      <c r="F47" s="23" t="s">
        <v>271</v>
      </c>
      <c r="G47" s="23" t="s">
        <v>272</v>
      </c>
    </row>
    <row r="48" spans="2:7">
      <c r="B48" s="95"/>
      <c r="C48" s="98" t="s">
        <v>21</v>
      </c>
      <c r="D48" s="238">
        <f>D30</f>
        <v>10</v>
      </c>
      <c r="E48" s="199">
        <v>0</v>
      </c>
      <c r="F48" s="243">
        <v>2000</v>
      </c>
      <c r="G48" s="239">
        <f>E48*F48</f>
        <v>0</v>
      </c>
    </row>
    <row r="49" spans="1:10">
      <c r="B49" s="95"/>
      <c r="C49" s="98" t="s">
        <v>22</v>
      </c>
      <c r="D49" s="238">
        <f t="shared" ref="D49:D52" si="5">D31</f>
        <v>20</v>
      </c>
      <c r="E49" s="199">
        <v>0</v>
      </c>
      <c r="F49" s="243">
        <v>2000</v>
      </c>
      <c r="G49" s="239">
        <f t="shared" ref="G49:G52" si="6">E49*F49</f>
        <v>0</v>
      </c>
    </row>
    <row r="50" spans="1:10">
      <c r="B50" s="95"/>
      <c r="C50" s="98" t="s">
        <v>23</v>
      </c>
      <c r="D50" s="238">
        <f t="shared" si="5"/>
        <v>30</v>
      </c>
      <c r="E50" s="199">
        <v>0</v>
      </c>
      <c r="F50" s="243">
        <v>2000</v>
      </c>
      <c r="G50" s="239">
        <f t="shared" si="6"/>
        <v>0</v>
      </c>
    </row>
    <row r="51" spans="1:10">
      <c r="B51" s="95"/>
      <c r="C51" s="98" t="s">
        <v>24</v>
      </c>
      <c r="D51" s="238">
        <f t="shared" si="5"/>
        <v>30</v>
      </c>
      <c r="E51" s="199">
        <v>0</v>
      </c>
      <c r="F51" s="243">
        <v>2000</v>
      </c>
      <c r="G51" s="239">
        <f t="shared" si="6"/>
        <v>0</v>
      </c>
    </row>
    <row r="52" spans="1:10">
      <c r="B52" s="95"/>
      <c r="C52" s="98" t="s">
        <v>30</v>
      </c>
      <c r="D52" s="238">
        <f t="shared" si="5"/>
        <v>30</v>
      </c>
      <c r="E52" s="199">
        <v>0</v>
      </c>
      <c r="F52" s="243">
        <v>2000</v>
      </c>
      <c r="G52" s="239">
        <f t="shared" si="6"/>
        <v>0</v>
      </c>
    </row>
    <row r="53" spans="1:10">
      <c r="B53" s="95"/>
      <c r="F53" s="242" t="s">
        <v>273</v>
      </c>
      <c r="G53" s="241">
        <f>SUM(G48:G52)</f>
        <v>0</v>
      </c>
    </row>
    <row r="54" spans="1:10">
      <c r="B54" s="95"/>
      <c r="C54" s="98"/>
      <c r="D54" s="164"/>
    </row>
    <row r="55" spans="1:10" ht="25.5">
      <c r="B55" s="95">
        <v>6</v>
      </c>
      <c r="C55" s="100" t="s">
        <v>214</v>
      </c>
      <c r="D55" s="23" t="s">
        <v>269</v>
      </c>
      <c r="E55" s="23" t="s">
        <v>270</v>
      </c>
      <c r="F55" s="23" t="s">
        <v>271</v>
      </c>
      <c r="G55" s="23" t="s">
        <v>272</v>
      </c>
      <c r="H55" s="127"/>
      <c r="I55" s="102"/>
      <c r="J55" s="143"/>
    </row>
    <row r="56" spans="1:10">
      <c r="B56" s="95"/>
      <c r="C56" s="98" t="s">
        <v>21</v>
      </c>
      <c r="D56" s="238">
        <f>D30</f>
        <v>10</v>
      </c>
      <c r="E56" s="199">
        <v>0</v>
      </c>
      <c r="F56" s="243">
        <v>0</v>
      </c>
      <c r="G56" s="239">
        <f>E56*F56</f>
        <v>0</v>
      </c>
    </row>
    <row r="57" spans="1:10">
      <c r="B57" s="95"/>
      <c r="C57" s="98" t="s">
        <v>22</v>
      </c>
      <c r="D57" s="238">
        <f t="shared" ref="D57:D60" si="7">D31</f>
        <v>20</v>
      </c>
      <c r="E57" s="199">
        <v>0</v>
      </c>
      <c r="F57" s="243">
        <v>0</v>
      </c>
      <c r="G57" s="239">
        <f t="shared" ref="G57:G60" si="8">E57*F57</f>
        <v>0</v>
      </c>
    </row>
    <row r="58" spans="1:10">
      <c r="B58" s="95"/>
      <c r="C58" s="98" t="s">
        <v>23</v>
      </c>
      <c r="D58" s="238">
        <f t="shared" si="7"/>
        <v>30</v>
      </c>
      <c r="E58" s="199">
        <v>0</v>
      </c>
      <c r="F58" s="243">
        <v>0</v>
      </c>
      <c r="G58" s="239">
        <f t="shared" si="8"/>
        <v>0</v>
      </c>
    </row>
    <row r="59" spans="1:10">
      <c r="B59" s="95"/>
      <c r="C59" s="98" t="s">
        <v>24</v>
      </c>
      <c r="D59" s="238">
        <f t="shared" si="7"/>
        <v>30</v>
      </c>
      <c r="E59" s="199">
        <v>0</v>
      </c>
      <c r="F59" s="243">
        <v>0</v>
      </c>
      <c r="G59" s="239">
        <f t="shared" si="8"/>
        <v>0</v>
      </c>
    </row>
    <row r="60" spans="1:10">
      <c r="B60" s="95"/>
      <c r="C60" s="98" t="s">
        <v>30</v>
      </c>
      <c r="D60" s="238">
        <f t="shared" si="7"/>
        <v>30</v>
      </c>
      <c r="E60" s="199">
        <v>0</v>
      </c>
      <c r="F60" s="243">
        <v>0</v>
      </c>
      <c r="G60" s="239">
        <f t="shared" si="8"/>
        <v>0</v>
      </c>
    </row>
    <row r="61" spans="1:10">
      <c r="B61" s="95"/>
      <c r="F61" s="242" t="s">
        <v>192</v>
      </c>
      <c r="G61" s="241">
        <f>SUM(G56:G60)</f>
        <v>0</v>
      </c>
    </row>
    <row r="62" spans="1:10">
      <c r="B62" s="95"/>
      <c r="F62" s="240"/>
      <c r="G62" s="47"/>
    </row>
    <row r="63" spans="1:10">
      <c r="B63" s="99"/>
      <c r="C63" s="163"/>
      <c r="H63" s="108"/>
      <c r="I63" s="62"/>
      <c r="J63" s="62"/>
    </row>
    <row r="64" spans="1:10">
      <c r="A64" s="35" t="s">
        <v>203</v>
      </c>
      <c r="B64" s="35" t="s">
        <v>193</v>
      </c>
      <c r="C64" s="35"/>
      <c r="D64" s="64"/>
      <c r="H64" s="108"/>
      <c r="I64" s="62"/>
      <c r="J64" s="62"/>
    </row>
    <row r="65" spans="2:10">
      <c r="B65" s="95"/>
      <c r="C65" s="163" t="s">
        <v>21</v>
      </c>
      <c r="D65" s="165">
        <f>G12+G21+G30+G39+G48+G56</f>
        <v>20000</v>
      </c>
    </row>
    <row r="66" spans="2:10">
      <c r="B66" s="95"/>
      <c r="C66" s="163" t="s">
        <v>22</v>
      </c>
      <c r="D66" s="165">
        <f t="shared" ref="D66:D69" si="9">G13+G22+G31+G40+G49+G57</f>
        <v>20000</v>
      </c>
    </row>
    <row r="67" spans="2:10">
      <c r="B67" s="95"/>
      <c r="C67" s="163" t="s">
        <v>23</v>
      </c>
      <c r="D67" s="165">
        <f t="shared" si="9"/>
        <v>20000</v>
      </c>
    </row>
    <row r="68" spans="2:10">
      <c r="B68" s="95"/>
      <c r="C68" s="163" t="s">
        <v>24</v>
      </c>
      <c r="D68" s="165">
        <f t="shared" si="9"/>
        <v>20000</v>
      </c>
    </row>
    <row r="69" spans="2:10">
      <c r="B69" s="95"/>
      <c r="C69" s="163" t="s">
        <v>30</v>
      </c>
      <c r="D69" s="165">
        <f t="shared" si="9"/>
        <v>20000</v>
      </c>
    </row>
    <row r="70" spans="2:10">
      <c r="B70" s="95"/>
      <c r="C70" s="163"/>
      <c r="D70" s="178"/>
    </row>
    <row r="71" spans="2:10">
      <c r="B71" s="170"/>
      <c r="D71" s="164"/>
      <c r="H71" s="108"/>
      <c r="I71" s="62"/>
      <c r="J71" s="62"/>
    </row>
    <row r="72" spans="2:10">
      <c r="B72" s="99"/>
      <c r="C72" s="163"/>
      <c r="D72" s="164"/>
      <c r="H72" s="108"/>
      <c r="I72" s="62"/>
      <c r="J72" s="62"/>
    </row>
    <row r="73" spans="2:10">
      <c r="B73" s="99"/>
      <c r="C73" s="163"/>
      <c r="D73" s="164"/>
      <c r="H73" s="108"/>
      <c r="I73" s="62"/>
      <c r="J73" s="62"/>
    </row>
    <row r="74" spans="2:10">
      <c r="B74" s="99"/>
      <c r="C74" s="163"/>
      <c r="D74" s="164"/>
      <c r="H74" s="108"/>
      <c r="I74" s="62"/>
      <c r="J74" s="62"/>
    </row>
    <row r="75" spans="2:10">
      <c r="B75" s="99"/>
      <c r="C75" s="163"/>
      <c r="D75" s="164"/>
      <c r="H75" s="108"/>
      <c r="I75" s="62"/>
      <c r="J75" s="62"/>
    </row>
    <row r="76" spans="2:10">
      <c r="B76" s="99"/>
      <c r="C76" s="163"/>
      <c r="D76" s="164"/>
      <c r="H76" s="108"/>
      <c r="I76" s="62"/>
      <c r="J76" s="62"/>
    </row>
    <row r="77" spans="2:10">
      <c r="B77" s="99"/>
      <c r="C77" s="163"/>
      <c r="D77" s="164"/>
      <c r="H77" s="108"/>
      <c r="I77" s="62"/>
      <c r="J77" s="62"/>
    </row>
    <row r="78" spans="2:10">
      <c r="B78" s="99"/>
      <c r="C78" s="163"/>
      <c r="D78" s="164"/>
      <c r="H78" s="108"/>
      <c r="I78" s="62"/>
      <c r="J78" s="62"/>
    </row>
    <row r="79" spans="2:10">
      <c r="B79" s="99"/>
      <c r="C79" s="163"/>
      <c r="D79" s="164"/>
      <c r="H79" s="108"/>
      <c r="I79" s="62"/>
      <c r="J79" s="62"/>
    </row>
    <row r="80" spans="2:10">
      <c r="B80" s="99"/>
      <c r="C80" s="98"/>
      <c r="D80" s="164"/>
      <c r="H80" s="108"/>
      <c r="I80" s="62"/>
      <c r="J80" s="62"/>
    </row>
    <row r="81" spans="2:10">
      <c r="B81" s="99"/>
      <c r="C81" s="163"/>
      <c r="D81" s="164"/>
      <c r="H81" s="108"/>
      <c r="I81" s="62"/>
      <c r="J81" s="62"/>
    </row>
    <row r="82" spans="2:10">
      <c r="B82" s="99"/>
      <c r="C82" s="163"/>
      <c r="D82" s="164"/>
      <c r="H82" s="108"/>
      <c r="I82" s="62"/>
      <c r="J82" s="62"/>
    </row>
    <row r="83" spans="2:10">
      <c r="B83" s="99"/>
      <c r="C83" s="163"/>
      <c r="D83" s="164"/>
      <c r="H83" s="108"/>
      <c r="I83" s="62"/>
      <c r="J83" s="62"/>
    </row>
    <row r="84" spans="2:10">
      <c r="B84" s="99"/>
      <c r="C84" s="163"/>
      <c r="D84" s="164"/>
      <c r="H84" s="108"/>
      <c r="I84" s="62"/>
      <c r="J84" s="62"/>
    </row>
    <row r="85" spans="2:10">
      <c r="B85" s="99"/>
      <c r="C85" s="163"/>
      <c r="D85" s="164"/>
      <c r="H85" s="108"/>
      <c r="I85" s="62"/>
      <c r="J85" s="62"/>
    </row>
    <row r="86" spans="2:10">
      <c r="B86" s="99"/>
      <c r="C86" s="163"/>
      <c r="D86" s="164"/>
      <c r="H86" s="108"/>
      <c r="I86" s="62"/>
      <c r="J86" s="62"/>
    </row>
    <row r="87" spans="2:10">
      <c r="B87" s="99"/>
      <c r="C87" s="163"/>
      <c r="D87" s="164"/>
      <c r="H87" s="108"/>
      <c r="I87" s="62"/>
      <c r="J87" s="62"/>
    </row>
    <row r="88" spans="2:10">
      <c r="B88" s="99"/>
      <c r="C88" s="163"/>
      <c r="D88" s="164"/>
      <c r="H88" s="108"/>
      <c r="I88" s="62"/>
      <c r="J88" s="62"/>
    </row>
    <row r="89" spans="2:10">
      <c r="B89" s="99"/>
      <c r="C89" s="163"/>
      <c r="D89" s="164"/>
      <c r="H89" s="108"/>
      <c r="I89" s="62"/>
      <c r="J89" s="62"/>
    </row>
    <row r="90" spans="2:10">
      <c r="B90" s="99"/>
      <c r="C90" s="163"/>
      <c r="D90" s="164"/>
      <c r="H90" s="108"/>
      <c r="I90" s="62"/>
      <c r="J90" s="62"/>
    </row>
    <row r="91" spans="2:10">
      <c r="B91" s="99"/>
      <c r="C91" s="163"/>
      <c r="D91" s="164"/>
      <c r="H91" s="108"/>
      <c r="I91" s="62"/>
      <c r="J91" s="62"/>
    </row>
    <row r="92" spans="2:10">
      <c r="B92" s="99"/>
      <c r="C92" s="163"/>
      <c r="D92" s="164"/>
      <c r="H92" s="108"/>
      <c r="I92" s="62"/>
      <c r="J92" s="62"/>
    </row>
    <row r="93" spans="2:10">
      <c r="C93" s="6"/>
      <c r="D93" s="164"/>
      <c r="H93" s="108"/>
      <c r="I93" s="62"/>
      <c r="J93" s="62"/>
    </row>
    <row r="94" spans="2:10">
      <c r="C94" s="6"/>
      <c r="D94" s="162"/>
      <c r="H94" s="108"/>
      <c r="I94" s="62"/>
      <c r="J94" s="62"/>
    </row>
    <row r="95" spans="2:10">
      <c r="C95" s="6"/>
      <c r="D95" s="162"/>
      <c r="H95" s="108"/>
      <c r="I95" s="62"/>
      <c r="J95" s="62"/>
    </row>
    <row r="96" spans="2:10">
      <c r="C96" s="6"/>
      <c r="D96" s="162"/>
      <c r="H96" s="108"/>
      <c r="I96" s="62"/>
      <c r="J96" s="62"/>
    </row>
    <row r="97" spans="3:10">
      <c r="C97" s="6"/>
      <c r="D97" s="162"/>
      <c r="H97" s="108"/>
      <c r="I97" s="62"/>
      <c r="J97" s="62"/>
    </row>
    <row r="98" spans="3:10">
      <c r="C98" s="6"/>
      <c r="D98" s="162"/>
      <c r="H98" s="108"/>
      <c r="I98" s="62"/>
      <c r="J98" s="62"/>
    </row>
    <row r="99" spans="3:10">
      <c r="C99" s="6"/>
      <c r="D99" s="162"/>
      <c r="H99" s="108"/>
      <c r="I99" s="62"/>
      <c r="J99" s="62"/>
    </row>
    <row r="100" spans="3:10">
      <c r="C100" s="6"/>
      <c r="D100" s="162"/>
      <c r="H100" s="108"/>
      <c r="I100" s="62"/>
      <c r="J100" s="62"/>
    </row>
    <row r="101" spans="3:10">
      <c r="C101" s="6"/>
      <c r="D101" s="162"/>
      <c r="H101" s="108"/>
      <c r="I101" s="62"/>
      <c r="J101" s="62"/>
    </row>
    <row r="102" spans="3:10">
      <c r="C102" s="6"/>
      <c r="D102" s="162"/>
      <c r="H102" s="108"/>
      <c r="I102" s="62"/>
      <c r="J102" s="62"/>
    </row>
    <row r="103" spans="3:10">
      <c r="C103" s="6"/>
      <c r="D103" s="162"/>
      <c r="H103" s="108"/>
      <c r="I103" s="62"/>
      <c r="J103" s="62"/>
    </row>
    <row r="104" spans="3:10">
      <c r="C104" s="6"/>
      <c r="D104" s="162"/>
      <c r="H104" s="108"/>
      <c r="I104" s="62"/>
      <c r="J104" s="62"/>
    </row>
    <row r="105" spans="3:10">
      <c r="C105" s="6"/>
      <c r="D105" s="162"/>
      <c r="H105" s="108"/>
      <c r="I105" s="62"/>
      <c r="J105" s="62"/>
    </row>
    <row r="106" spans="3:10">
      <c r="C106" s="6"/>
      <c r="D106" s="162"/>
      <c r="H106" s="108"/>
      <c r="I106" s="62"/>
      <c r="J106" s="62"/>
    </row>
    <row r="107" spans="3:10">
      <c r="C107" s="6"/>
      <c r="D107" s="162"/>
      <c r="H107" s="108"/>
      <c r="I107" s="62"/>
      <c r="J107" s="62"/>
    </row>
    <row r="108" spans="3:10">
      <c r="C108" s="6"/>
      <c r="D108" s="162"/>
      <c r="H108" s="108"/>
      <c r="I108" s="62"/>
      <c r="J108" s="62"/>
    </row>
    <row r="109" spans="3:10">
      <c r="C109" s="6"/>
      <c r="D109" s="162"/>
      <c r="H109" s="108"/>
      <c r="I109" s="62"/>
      <c r="J109" s="62"/>
    </row>
    <row r="110" spans="3:10">
      <c r="C110" s="6"/>
      <c r="D110" s="162"/>
      <c r="H110" s="108"/>
      <c r="I110" s="62"/>
      <c r="J110" s="62"/>
    </row>
    <row r="111" spans="3:10">
      <c r="C111" s="6"/>
      <c r="D111" s="162"/>
      <c r="H111" s="108"/>
      <c r="I111" s="62"/>
      <c r="J111" s="62"/>
    </row>
    <row r="112" spans="3:10">
      <c r="C112" s="6"/>
      <c r="D112" s="162"/>
      <c r="H112" s="108"/>
      <c r="I112" s="62"/>
      <c r="J112" s="62"/>
    </row>
    <row r="113" spans="3:10">
      <c r="C113" s="6"/>
      <c r="D113" s="162"/>
      <c r="H113" s="108"/>
      <c r="I113" s="62"/>
      <c r="J113" s="62"/>
    </row>
    <row r="114" spans="3:10">
      <c r="C114" s="6"/>
      <c r="D114" s="162"/>
      <c r="H114" s="108"/>
      <c r="I114" s="62"/>
      <c r="J114" s="62"/>
    </row>
  </sheetData>
  <sheetProtection algorithmName="SHA-512" hashValue="pJlveImMCUpNE5LcyCZz/Htlv843pRN90Rz9GsfqBebPgI5UbuBYr8SiMQWss7mI/jfxbYpBDql6pC2SEEe4fQ==" saltValue="ER2WJJc9BJ3eCQ+dX/mWaQ==" spinCount="100000" sheet="1" scenarios="1"/>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E226B-CA52-4E08-BA0E-3E288F0A3A53}">
  <dimension ref="B1:D5"/>
  <sheetViews>
    <sheetView showGridLines="0" showRowColHeaders="0" workbookViewId="0">
      <pane ySplit="3" topLeftCell="A4" activePane="bottomLeft" state="frozenSplit"/>
      <selection pane="bottomLeft" activeCell="A4" sqref="A4"/>
    </sheetView>
  </sheetViews>
  <sheetFormatPr defaultRowHeight="12.75"/>
  <cols>
    <col min="1" max="1" width="3" customWidth="1"/>
    <col min="2" max="2" width="3.125" customWidth="1"/>
    <col min="3" max="3" width="72" customWidth="1"/>
    <col min="4" max="4" width="12.375" bestFit="1" customWidth="1"/>
    <col min="8" max="8" width="31.5" customWidth="1"/>
    <col min="9" max="9" width="41.75" customWidth="1"/>
  </cols>
  <sheetData>
    <row r="1" spans="2:4" ht="24.75" customHeight="1">
      <c r="C1" s="62"/>
    </row>
    <row r="2" spans="2:4" ht="71.25" customHeight="1">
      <c r="D2" s="62"/>
    </row>
    <row r="4" spans="2:4">
      <c r="B4" s="256" t="s">
        <v>179</v>
      </c>
      <c r="C4" s="256"/>
    </row>
    <row r="5" spans="2:4">
      <c r="B5" s="256" t="s">
        <v>180</v>
      </c>
      <c r="C5" s="256"/>
    </row>
  </sheetData>
  <sheetProtection algorithmName="SHA-512" hashValue="pJt0w449WDEyrBu21FAaWh6JBsayk8rleWqiVAqdtl74Vu4daKWvFv8x53C3y9DmFyEvox6RH6pHKZViz6mW2g==" saltValue="Diz4wgpFMQBxcNi9UcUSzg==" spinCount="100000" sheet="1" scenarios="1"/>
  <mergeCells count="2">
    <mergeCell ref="B5:C5"/>
    <mergeCell ref="B4:C4"/>
  </mergeCells>
  <hyperlinks>
    <hyperlink ref="B5" r:id="rId1" display="https://www.dol.gov/agencies/eta/wotc" xr:uid="{C9B4EEC4-A469-4096-B186-16E93793078E}"/>
    <hyperlink ref="B4" r:id="rId2" display="http://www.floridajobs.org/docs/default-source/office-of-workforce-services/wotc-tax-credit-calculation-chart.pdf?sfvrsn=76a773b0_2" xr:uid="{995DC81C-6AFC-4A51-AB44-13B6C3FCC8B1}"/>
  </hyperlinks>
  <pageMargins left="0.7" right="0.7" top="0.75" bottom="0.75" header="0.3" footer="0.3"/>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A8F64-F387-4B27-8FAF-EA7AC729D2B6}">
  <dimension ref="A1:J86"/>
  <sheetViews>
    <sheetView showGridLines="0" showRowColHeaders="0" workbookViewId="0">
      <pane ySplit="2" topLeftCell="A3" activePane="bottomLeft" state="frozenSplit"/>
      <selection pane="bottomLeft" activeCell="A4" sqref="A4"/>
    </sheetView>
  </sheetViews>
  <sheetFormatPr defaultRowHeight="12.75"/>
  <cols>
    <col min="1" max="1" width="3" customWidth="1"/>
    <col min="2" max="2" width="3.125" customWidth="1"/>
    <col min="3" max="3" width="45.75" customWidth="1"/>
    <col min="4" max="4" width="12.375" customWidth="1"/>
    <col min="5" max="5" width="8.875" customWidth="1"/>
    <col min="8" max="21" width="8.5" customWidth="1"/>
  </cols>
  <sheetData>
    <row r="1" spans="1:4" ht="24.75" customHeight="1">
      <c r="C1" s="62"/>
    </row>
    <row r="2" spans="1:4" ht="71.25" customHeight="1">
      <c r="D2" s="62"/>
    </row>
    <row r="4" spans="1:4">
      <c r="A4" s="35" t="s">
        <v>201</v>
      </c>
      <c r="B4" s="59" t="s">
        <v>194</v>
      </c>
      <c r="C4" s="35"/>
      <c r="D4" s="94"/>
    </row>
    <row r="5" spans="1:4">
      <c r="B5" s="66"/>
      <c r="C5" s="63"/>
    </row>
    <row r="6" spans="1:4" ht="15.75" customHeight="1">
      <c r="B6" s="95">
        <v>1</v>
      </c>
      <c r="C6" s="100" t="s">
        <v>187</v>
      </c>
    </row>
    <row r="7" spans="1:4">
      <c r="B7" s="95"/>
      <c r="C7" s="51"/>
    </row>
    <row r="8" spans="1:4">
      <c r="A8" s="35" t="s">
        <v>202</v>
      </c>
      <c r="B8" s="35" t="s">
        <v>196</v>
      </c>
      <c r="C8" s="35"/>
      <c r="D8" s="64"/>
    </row>
    <row r="9" spans="1:4" s="72" customFormat="1">
      <c r="A9"/>
      <c r="B9" s="103"/>
      <c r="C9" s="103"/>
      <c r="D9" s="103"/>
    </row>
    <row r="10" spans="1:4" ht="43.9" customHeight="1">
      <c r="B10" s="95">
        <v>1</v>
      </c>
      <c r="C10" s="100" t="s">
        <v>195</v>
      </c>
      <c r="D10" s="103"/>
    </row>
    <row r="11" spans="1:4">
      <c r="B11" s="95"/>
      <c r="C11" s="98">
        <v>2022</v>
      </c>
      <c r="D11" s="169">
        <v>0</v>
      </c>
    </row>
    <row r="12" spans="1:4">
      <c r="B12" s="95"/>
      <c r="C12" s="98">
        <v>2023</v>
      </c>
      <c r="D12" s="169">
        <v>0</v>
      </c>
    </row>
    <row r="13" spans="1:4">
      <c r="B13" s="95"/>
      <c r="C13" s="98">
        <v>2024</v>
      </c>
      <c r="D13" s="169">
        <v>0</v>
      </c>
    </row>
    <row r="14" spans="1:4">
      <c r="B14" s="95"/>
      <c r="C14" s="98">
        <v>2025</v>
      </c>
      <c r="D14" s="169">
        <v>0</v>
      </c>
    </row>
    <row r="15" spans="1:4">
      <c r="B15" s="95"/>
      <c r="C15" s="163" t="s">
        <v>197</v>
      </c>
      <c r="D15" s="171">
        <f>SUM(D11:D14)</f>
        <v>0</v>
      </c>
    </row>
    <row r="16" spans="1:4">
      <c r="B16" s="95"/>
      <c r="C16" s="98"/>
      <c r="D16" s="164"/>
    </row>
    <row r="17" spans="1:10">
      <c r="A17" s="35" t="s">
        <v>203</v>
      </c>
      <c r="B17" s="35" t="s">
        <v>198</v>
      </c>
      <c r="C17" s="35"/>
      <c r="D17" s="64"/>
      <c r="H17" s="108"/>
      <c r="I17" s="62"/>
      <c r="J17" s="62"/>
    </row>
    <row r="18" spans="1:10">
      <c r="B18" s="99"/>
      <c r="C18" s="163"/>
      <c r="H18" s="108"/>
      <c r="I18" s="62"/>
      <c r="J18" s="62"/>
    </row>
    <row r="19" spans="1:10" ht="66.400000000000006" customHeight="1">
      <c r="B19" s="174">
        <v>1</v>
      </c>
      <c r="C19" s="175" t="s">
        <v>199</v>
      </c>
      <c r="D19" s="66"/>
      <c r="H19" s="108"/>
      <c r="I19" s="62"/>
      <c r="J19" s="62"/>
    </row>
    <row r="20" spans="1:10">
      <c r="B20" s="95"/>
      <c r="C20" s="163" t="s">
        <v>21</v>
      </c>
      <c r="D20" s="165">
        <f>D11*2000</f>
        <v>0</v>
      </c>
    </row>
    <row r="21" spans="1:10">
      <c r="B21" s="95"/>
      <c r="C21" s="163" t="s">
        <v>22</v>
      </c>
      <c r="D21" s="165">
        <f t="shared" ref="D21:D23" si="0">D12*2000</f>
        <v>0</v>
      </c>
    </row>
    <row r="22" spans="1:10">
      <c r="B22" s="95"/>
      <c r="C22" s="163" t="s">
        <v>23</v>
      </c>
      <c r="D22" s="165">
        <f t="shared" si="0"/>
        <v>0</v>
      </c>
    </row>
    <row r="23" spans="1:10">
      <c r="B23" s="95"/>
      <c r="C23" s="163" t="s">
        <v>24</v>
      </c>
      <c r="D23" s="165">
        <f t="shared" si="0"/>
        <v>0</v>
      </c>
    </row>
    <row r="24" spans="1:10" ht="7.9" customHeight="1">
      <c r="B24" s="95"/>
      <c r="C24" s="163"/>
      <c r="D24" s="178"/>
    </row>
    <row r="25" spans="1:10">
      <c r="B25" s="177"/>
      <c r="C25" s="176"/>
      <c r="D25" s="176"/>
      <c r="H25" s="108"/>
      <c r="I25" s="62"/>
      <c r="J25" s="62"/>
    </row>
    <row r="26" spans="1:10">
      <c r="B26" s="99"/>
      <c r="C26" s="163"/>
      <c r="D26" s="164"/>
      <c r="H26" s="108"/>
      <c r="I26" s="62"/>
      <c r="J26" s="62"/>
    </row>
    <row r="27" spans="1:10" ht="16.899999999999999" customHeight="1">
      <c r="B27" s="167"/>
      <c r="C27" s="166"/>
      <c r="D27" s="168"/>
      <c r="H27" s="108"/>
      <c r="I27" s="62"/>
      <c r="J27" s="62"/>
    </row>
    <row r="28" spans="1:10">
      <c r="B28" s="99"/>
      <c r="C28" s="163"/>
      <c r="D28" s="164"/>
      <c r="H28" s="108"/>
      <c r="I28" s="62"/>
      <c r="J28" s="62"/>
    </row>
    <row r="29" spans="1:10">
      <c r="B29" s="172"/>
      <c r="C29" s="163"/>
      <c r="D29" s="164"/>
      <c r="H29" s="108"/>
      <c r="I29" s="62"/>
      <c r="J29" s="62"/>
    </row>
    <row r="30" spans="1:10">
      <c r="B30" s="257"/>
      <c r="C30" s="257"/>
      <c r="D30" s="257"/>
      <c r="E30" s="257"/>
      <c r="F30" s="257"/>
      <c r="H30" s="108"/>
      <c r="I30" s="62"/>
      <c r="J30" s="62"/>
    </row>
    <row r="31" spans="1:10">
      <c r="B31" s="99"/>
      <c r="C31" s="173"/>
      <c r="D31" s="164"/>
      <c r="H31" s="108"/>
      <c r="I31" s="62"/>
      <c r="J31" s="62"/>
    </row>
    <row r="32" spans="1:10">
      <c r="B32" s="99"/>
      <c r="C32" s="163"/>
      <c r="D32" s="164"/>
      <c r="H32" s="108"/>
      <c r="I32" s="62"/>
      <c r="J32" s="62"/>
    </row>
    <row r="33" spans="2:10">
      <c r="B33" s="99"/>
      <c r="C33" s="163"/>
      <c r="D33" s="164"/>
      <c r="H33" s="108"/>
      <c r="I33" s="62"/>
      <c r="J33" s="62"/>
    </row>
    <row r="34" spans="2:10">
      <c r="B34" s="99"/>
      <c r="C34" s="163"/>
      <c r="D34" s="164"/>
      <c r="H34" s="108"/>
      <c r="I34" s="62"/>
      <c r="J34" s="62"/>
    </row>
    <row r="35" spans="2:10">
      <c r="B35" s="99"/>
      <c r="C35" s="98"/>
      <c r="D35" s="164"/>
      <c r="H35" s="108"/>
      <c r="I35" s="62"/>
      <c r="J35" s="62"/>
    </row>
    <row r="36" spans="2:10">
      <c r="B36" s="99"/>
      <c r="C36" s="163"/>
      <c r="D36" s="164"/>
      <c r="H36" s="108"/>
      <c r="I36" s="62"/>
      <c r="J36" s="62"/>
    </row>
    <row r="37" spans="2:10">
      <c r="B37" s="99"/>
      <c r="C37" s="163"/>
      <c r="D37" s="164"/>
      <c r="H37" s="108"/>
      <c r="I37" s="62"/>
      <c r="J37" s="62"/>
    </row>
    <row r="38" spans="2:10">
      <c r="B38" s="99"/>
      <c r="C38" s="163"/>
      <c r="D38" s="164"/>
      <c r="H38" s="108"/>
      <c r="I38" s="62"/>
      <c r="J38" s="62"/>
    </row>
    <row r="39" spans="2:10">
      <c r="B39" s="99"/>
      <c r="C39" s="163"/>
      <c r="D39" s="164"/>
      <c r="H39" s="108"/>
      <c r="I39" s="62"/>
      <c r="J39" s="62"/>
    </row>
    <row r="40" spans="2:10">
      <c r="B40" s="99"/>
      <c r="C40" s="163"/>
      <c r="D40" s="164"/>
      <c r="H40" s="108"/>
      <c r="I40" s="62"/>
      <c r="J40" s="62"/>
    </row>
    <row r="41" spans="2:10">
      <c r="B41" s="99"/>
      <c r="C41" s="163"/>
      <c r="D41" s="164"/>
      <c r="H41" s="108"/>
      <c r="I41" s="62"/>
      <c r="J41" s="62"/>
    </row>
    <row r="42" spans="2:10">
      <c r="B42" s="99"/>
      <c r="C42" s="163"/>
      <c r="D42" s="164"/>
      <c r="H42" s="108"/>
      <c r="I42" s="62"/>
      <c r="J42" s="62"/>
    </row>
    <row r="43" spans="2:10">
      <c r="B43" s="99"/>
      <c r="C43" s="163"/>
      <c r="D43" s="164"/>
      <c r="H43" s="108"/>
      <c r="I43" s="62"/>
      <c r="J43" s="62"/>
    </row>
    <row r="44" spans="2:10">
      <c r="B44" s="99"/>
      <c r="C44" s="163"/>
      <c r="D44" s="164"/>
      <c r="H44" s="108"/>
      <c r="I44" s="62"/>
      <c r="J44" s="62"/>
    </row>
    <row r="45" spans="2:10">
      <c r="B45" s="99"/>
      <c r="C45" s="163"/>
      <c r="D45" s="164"/>
      <c r="H45" s="108"/>
      <c r="I45" s="62"/>
      <c r="J45" s="62"/>
    </row>
    <row r="46" spans="2:10">
      <c r="B46" s="99"/>
      <c r="C46" s="163"/>
      <c r="D46" s="164"/>
      <c r="H46" s="108"/>
      <c r="I46" s="62"/>
      <c r="J46" s="62"/>
    </row>
    <row r="47" spans="2:10">
      <c r="B47" s="99"/>
      <c r="C47" s="163"/>
      <c r="D47" s="164"/>
      <c r="H47" s="108"/>
      <c r="I47" s="62"/>
      <c r="J47" s="62"/>
    </row>
    <row r="48" spans="2:10">
      <c r="C48" s="6"/>
      <c r="D48" s="164"/>
      <c r="H48" s="108"/>
      <c r="I48" s="62"/>
      <c r="J48" s="62"/>
    </row>
    <row r="49" spans="3:10">
      <c r="C49" s="6"/>
      <c r="D49" s="162"/>
      <c r="H49" s="108"/>
      <c r="I49" s="62"/>
      <c r="J49" s="62"/>
    </row>
    <row r="50" spans="3:10">
      <c r="C50" s="6"/>
      <c r="D50" s="162"/>
      <c r="H50" s="108"/>
      <c r="I50" s="62"/>
      <c r="J50" s="62"/>
    </row>
    <row r="51" spans="3:10">
      <c r="C51" s="6"/>
      <c r="D51" s="162"/>
      <c r="H51" s="108"/>
      <c r="I51" s="62"/>
      <c r="J51" s="62"/>
    </row>
    <row r="52" spans="3:10">
      <c r="C52" s="6"/>
      <c r="D52" s="162"/>
      <c r="H52" s="108"/>
      <c r="I52" s="62"/>
      <c r="J52" s="62"/>
    </row>
    <row r="53" spans="3:10">
      <c r="C53" s="6"/>
      <c r="D53" s="162"/>
      <c r="H53" s="108"/>
      <c r="I53" s="62"/>
      <c r="J53" s="62"/>
    </row>
    <row r="54" spans="3:10">
      <c r="C54" s="6"/>
      <c r="D54" s="162"/>
      <c r="H54" s="108"/>
      <c r="I54" s="62"/>
      <c r="J54" s="62"/>
    </row>
    <row r="55" spans="3:10">
      <c r="C55" s="6"/>
      <c r="D55" s="162"/>
      <c r="H55" s="108"/>
      <c r="I55" s="62"/>
      <c r="J55" s="62"/>
    </row>
    <row r="56" spans="3:10">
      <c r="C56" s="6"/>
      <c r="D56" s="162"/>
      <c r="H56" s="108"/>
      <c r="I56" s="62"/>
      <c r="J56" s="62"/>
    </row>
    <row r="57" spans="3:10">
      <c r="C57" s="6"/>
      <c r="D57" s="162"/>
      <c r="H57" s="108"/>
      <c r="I57" s="62"/>
      <c r="J57" s="62"/>
    </row>
    <row r="58" spans="3:10">
      <c r="C58" s="6"/>
      <c r="D58" s="162"/>
      <c r="H58" s="108"/>
      <c r="I58" s="62"/>
      <c r="J58" s="62"/>
    </row>
    <row r="59" spans="3:10">
      <c r="C59" s="6"/>
      <c r="D59" s="162"/>
      <c r="H59" s="108"/>
      <c r="I59" s="62"/>
      <c r="J59" s="62"/>
    </row>
    <row r="60" spans="3:10">
      <c r="C60" s="6"/>
      <c r="D60" s="162"/>
      <c r="H60" s="108"/>
      <c r="I60" s="62"/>
      <c r="J60" s="62"/>
    </row>
    <row r="61" spans="3:10">
      <c r="C61" s="6"/>
      <c r="D61" s="162"/>
      <c r="H61" s="108"/>
      <c r="I61" s="62"/>
      <c r="J61" s="62"/>
    </row>
    <row r="62" spans="3:10">
      <c r="C62" s="6"/>
      <c r="D62" s="162"/>
      <c r="H62" s="108"/>
      <c r="I62" s="62"/>
      <c r="J62" s="62"/>
    </row>
    <row r="63" spans="3:10">
      <c r="C63" s="6"/>
      <c r="D63" s="162"/>
      <c r="H63" s="108"/>
      <c r="I63" s="62"/>
      <c r="J63" s="62"/>
    </row>
    <row r="64" spans="3:10">
      <c r="C64" s="6"/>
      <c r="D64" s="162"/>
      <c r="H64" s="108"/>
      <c r="I64" s="62"/>
      <c r="J64" s="62"/>
    </row>
    <row r="65" spans="2:10">
      <c r="C65" s="6"/>
      <c r="D65" s="162"/>
      <c r="H65" s="108"/>
      <c r="I65" s="62"/>
      <c r="J65" s="62"/>
    </row>
    <row r="66" spans="2:10">
      <c r="C66" s="6"/>
      <c r="D66" s="162"/>
      <c r="H66" s="108"/>
      <c r="I66" s="62"/>
      <c r="J66" s="62"/>
    </row>
    <row r="67" spans="2:10">
      <c r="C67" s="6"/>
      <c r="D67" s="162"/>
      <c r="H67" s="108"/>
      <c r="I67" s="62"/>
      <c r="J67" s="62"/>
    </row>
    <row r="68" spans="2:10">
      <c r="C68" s="6"/>
      <c r="D68" s="162"/>
      <c r="H68" s="108"/>
      <c r="I68" s="62"/>
      <c r="J68" s="62"/>
    </row>
    <row r="69" spans="2:10">
      <c r="C69" s="6"/>
      <c r="D69" s="162"/>
      <c r="H69" s="108"/>
      <c r="I69" s="62"/>
      <c r="J69" s="62"/>
    </row>
    <row r="70" spans="2:10">
      <c r="D70" s="162"/>
      <c r="H70" s="38"/>
      <c r="I70" s="62"/>
      <c r="J70" s="62"/>
    </row>
    <row r="71" spans="2:10">
      <c r="B71" s="35" t="s">
        <v>165</v>
      </c>
      <c r="C71" s="35"/>
      <c r="H71" s="38"/>
      <c r="I71" s="62"/>
      <c r="J71" s="62"/>
    </row>
    <row r="72" spans="2:10">
      <c r="D72" s="64"/>
      <c r="H72" s="38"/>
      <c r="I72" s="62"/>
      <c r="J72" s="62"/>
    </row>
    <row r="73" spans="2:10" ht="25.5">
      <c r="B73" s="53">
        <v>1</v>
      </c>
      <c r="C73" s="51" t="s">
        <v>161</v>
      </c>
      <c r="H73" s="38"/>
      <c r="I73" s="62"/>
      <c r="J73" s="62"/>
    </row>
    <row r="74" spans="2:10">
      <c r="B74" s="53"/>
      <c r="D74" s="104">
        <v>199</v>
      </c>
      <c r="H74" s="38"/>
      <c r="I74" s="62"/>
      <c r="J74" s="62"/>
    </row>
    <row r="75" spans="2:10">
      <c r="B75" s="53">
        <v>2</v>
      </c>
      <c r="C75" t="s">
        <v>164</v>
      </c>
      <c r="H75" s="38"/>
      <c r="I75" s="62"/>
      <c r="J75" s="62"/>
    </row>
    <row r="76" spans="2:10">
      <c r="B76" s="53"/>
      <c r="D76" s="107">
        <v>30</v>
      </c>
      <c r="H76" s="38"/>
      <c r="I76" s="62"/>
      <c r="J76" s="62"/>
    </row>
    <row r="77" spans="2:10">
      <c r="C77" s="6" t="s">
        <v>0</v>
      </c>
      <c r="H77" s="108"/>
      <c r="I77" s="62"/>
      <c r="J77" s="62"/>
    </row>
    <row r="78" spans="2:10">
      <c r="D78" s="110">
        <f>D74*D76</f>
        <v>5970</v>
      </c>
      <c r="H78" s="38"/>
      <c r="I78" s="62"/>
      <c r="J78" s="62"/>
    </row>
    <row r="79" spans="2:10">
      <c r="B79" s="35" t="s">
        <v>163</v>
      </c>
      <c r="C79" s="35"/>
    </row>
    <row r="80" spans="2:10">
      <c r="D80" s="64"/>
    </row>
    <row r="81" spans="2:4">
      <c r="B81" s="53">
        <v>1</v>
      </c>
      <c r="C81" t="s">
        <v>154</v>
      </c>
    </row>
    <row r="82" spans="2:4">
      <c r="D82" s="104">
        <v>3850</v>
      </c>
    </row>
    <row r="83" spans="2:4">
      <c r="B83" s="105" t="s">
        <v>159</v>
      </c>
      <c r="C83" s="105"/>
    </row>
    <row r="84" spans="2:4">
      <c r="D84" s="106" t="e">
        <f>#REF!+D78+D82</f>
        <v>#REF!</v>
      </c>
    </row>
    <row r="85" spans="2:4">
      <c r="B85" s="105" t="s">
        <v>166</v>
      </c>
      <c r="C85" s="105"/>
    </row>
    <row r="86" spans="2:4">
      <c r="D86" s="109" t="str">
        <f>IFERROR(D84/(D11*(1+#REF!)*2080),"")</f>
        <v/>
      </c>
    </row>
  </sheetData>
  <sheetProtection algorithmName="SHA-512" hashValue="K+xSmOTWEML6SNLR7wKyaKJJab2CIJ5NwHLY8jG71c1FsXaM9g6hwbmaOhGAnHNMQqyt+ktmoQS5ODPSoDnzFw==" saltValue="Q2yi5L+taWaKuXGP8LWISw==" spinCount="100000" sheet="1" scenarios="1"/>
  <protectedRanges>
    <protectedRange sqref="D11:D14" name="Range1"/>
  </protectedRanges>
  <mergeCells count="1">
    <mergeCell ref="B30:F30"/>
  </mergeCells>
  <phoneticPr fontId="11"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ROI Questionnaire</vt:lpstr>
      <vt:lpstr>ROI Summary</vt:lpstr>
      <vt:lpstr>ROI Details</vt:lpstr>
      <vt:lpstr>Cost of Vacancy WS</vt:lpstr>
      <vt:lpstr>Cost per Hire WS</vt:lpstr>
      <vt:lpstr>Cost of Turnover WS</vt:lpstr>
      <vt:lpstr>Subsidy WS</vt:lpstr>
      <vt:lpstr>WOTC</vt:lpstr>
      <vt:lpstr>FL EL Tax Credit</vt:lpstr>
      <vt:lpstr>'Cost of Turnover WS'!Print_Area</vt:lpstr>
      <vt:lpstr>'Cost of Vacancy WS'!Print_Area</vt:lpstr>
      <vt:lpstr>'Cost per Hire WS'!Print_Area</vt:lpstr>
      <vt:lpstr>'ROI Details'!Print_Area</vt:lpstr>
      <vt:lpstr>'ROI Questionnaire'!Print_Area</vt:lpstr>
      <vt:lpstr>'Cost of Vacancy WS'!Print_Titles</vt:lpstr>
      <vt:lpstr>'ROI Details'!Print_Titles</vt:lpstr>
      <vt:lpstr>'ROI Questionnaire'!Print_Titles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rs</dc:creator>
  <cp:lastModifiedBy>Byron Clayton</cp:lastModifiedBy>
  <cp:lastPrinted>2023-09-13T20:20:00Z</cp:lastPrinted>
  <dcterms:created xsi:type="dcterms:W3CDTF">2016-11-06T02:09:08Z</dcterms:created>
  <dcterms:modified xsi:type="dcterms:W3CDTF">2023-09-14T21:30:51Z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